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Rozpočet - Jen objekty celkem" sheetId="2" r:id="rId2"/>
    <sheet name="Krycí list rozpočtu" sheetId="3" r:id="rId3"/>
    <sheet name="Krycí list objektu (01)" sheetId="4" r:id="rId4"/>
    <sheet name="Krycí list objektu (02)" sheetId="5" r:id="rId5"/>
    <sheet name="Krycí list objektu (03)" sheetId="6" r:id="rId6"/>
  </sheets>
  <definedNames/>
  <calcPr fullCalcOnLoad="1"/>
</workbook>
</file>

<file path=xl/sharedStrings.xml><?xml version="1.0" encoding="utf-8"?>
<sst xmlns="http://schemas.openxmlformats.org/spreadsheetml/2006/main" count="751" uniqueCount="196">
  <si>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</si>
  <si>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</si>
  <si>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</si>
  <si>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</si>
  <si>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</si>
  <si>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</si>
  <si>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</si>
  <si>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</si>
  <si>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</si>
  <si>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</si>
  <si>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</si>
  <si>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</si>
  <si>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</si>
  <si>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</si>
  <si>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</si>
  <si>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</si>
  <si>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</si>
  <si>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</si>
  <si>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</si>
  <si>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</si>
  <si>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</si>
  <si>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</si>
  <si>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</si>
  <si>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</si>
  <si>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</si>
  <si>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</si>
  <si>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</si>
  <si>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</si>
  <si>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</si>
  <si>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</si>
  <si>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</si>
  <si>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</si>
  <si>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</si>
  <si>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</si>
  <si>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Poznámka:</t>
  </si>
  <si>
    <t>Objekt</t>
  </si>
  <si>
    <t>01</t>
  </si>
  <si>
    <t>02</t>
  </si>
  <si>
    <t>03</t>
  </si>
  <si>
    <t>Kód</t>
  </si>
  <si>
    <t>113151214R00</t>
  </si>
  <si>
    <t>113151115R00</t>
  </si>
  <si>
    <t>45</t>
  </si>
  <si>
    <t>457621411R00</t>
  </si>
  <si>
    <t>56</t>
  </si>
  <si>
    <t>569611111R00</t>
  </si>
  <si>
    <t>57</t>
  </si>
  <si>
    <t>573211111R00</t>
  </si>
  <si>
    <t>577112124RT3</t>
  </si>
  <si>
    <t>577152123RT2</t>
  </si>
  <si>
    <t>H22</t>
  </si>
  <si>
    <t>998225111R00</t>
  </si>
  <si>
    <t>S</t>
  </si>
  <si>
    <t>979990112R00</t>
  </si>
  <si>
    <t>979091211R00</t>
  </si>
  <si>
    <t>113151114R00</t>
  </si>
  <si>
    <t>89</t>
  </si>
  <si>
    <t>899232111R00</t>
  </si>
  <si>
    <t>Oprava komunikace Barandov,Školní a Loudátova</t>
  </si>
  <si>
    <t>Oprava</t>
  </si>
  <si>
    <t>Chrastava</t>
  </si>
  <si>
    <t>Zkrácený popis</t>
  </si>
  <si>
    <t>Rozměry</t>
  </si>
  <si>
    <t>Barandov</t>
  </si>
  <si>
    <t>Přípravné a přidružené práce</t>
  </si>
  <si>
    <t>Fréz.živič.krytu nad 500 m2, bez překážek, tl.5 cm</t>
  </si>
  <si>
    <t>Podkladní a vedlejší konstrukce (kromě vozovek a železničního svršku)</t>
  </si>
  <si>
    <t>Těsnění z asfaltobet. úprava spár zálivkou 1 kg/m</t>
  </si>
  <si>
    <t>Podkladní vrstvy komunikací a zpevněných ploch</t>
  </si>
  <si>
    <t>Zpevnění krajnic betonovým recyklátem tl. 5 cm</t>
  </si>
  <si>
    <t>Kryty štěrkových a živičných pozemních komunikací a zpevněných ploch</t>
  </si>
  <si>
    <t>Postřik živičný spojovací z asfaltu 0,5-0,7 kg/m2</t>
  </si>
  <si>
    <t>včetně vyčištění podkladu</t>
  </si>
  <si>
    <t>Beton asfalt. ACO 11 S modifik. š.nad 3 m, tl.5 cm</t>
  </si>
  <si>
    <t>Beton asfalt. ACL 16+ ložný, š. nad 3 m, tl. 6 cm</t>
  </si>
  <si>
    <t>Komunikace pozemní a letiště</t>
  </si>
  <si>
    <t>Přesun hmot, pozemní komunikace, kryt živičný</t>
  </si>
  <si>
    <t>Přesuny sutí</t>
  </si>
  <si>
    <t>Poplatek za skládku suti - obalované kam. - asfalt</t>
  </si>
  <si>
    <t>Vodorovné přemístění suti do 10 km</t>
  </si>
  <si>
    <t>104,9400 - 10,00  =  94,94 t</t>
  </si>
  <si>
    <t>Školní ulice</t>
  </si>
  <si>
    <t>Fréz.živič.krytu pl.do 500 m2,pruh do 75 cm,tl.5cm</t>
  </si>
  <si>
    <t>Včetně vyčištění</t>
  </si>
  <si>
    <t>Loudátova ulice</t>
  </si>
  <si>
    <t>Ostatní konstrukce a práce na trubním vedení</t>
  </si>
  <si>
    <t>Výšková úprava uličních znaků</t>
  </si>
  <si>
    <t>poklopy,vod.šoupata.......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</si>
  <si>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</si>
  <si>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</si>
  <si>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</si>
  <si>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</si>
  <si>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</si>
  <si>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</si>
  <si>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</si>
  <si>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t</t>
  </si>
  <si>
    <t>kus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</si>
  <si>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</si>
  <si>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</si>
  <si>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</si>
  <si>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</si>
  <si>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</si>
  <si>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</si>
  <si>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</si>
  <si>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</si>
  <si>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</si>
  <si>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</si>
  <si>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</si>
  <si>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Pavel Beran</t>
  </si>
  <si>
    <t>Celkem</t>
  </si>
  <si>
    <t>Hmotnost (t)</t>
  </si>
  <si>
    <t>Cenová</t>
  </si>
  <si>
    <t>soustava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</si>
  <si>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</si>
  <si>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</si>
  <si>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</si>
  <si>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</si>
  <si>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</si>
  <si>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</si>
  <si>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</si>
  <si>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</si>
  <si>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</si>
  <si>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</si>
  <si>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</si>
  <si>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45_</t>
  </si>
  <si>
    <t>56_</t>
  </si>
  <si>
    <t>57_</t>
  </si>
  <si>
    <t>H22_</t>
  </si>
  <si>
    <t>S_</t>
  </si>
  <si>
    <t>89_</t>
  </si>
  <si>
    <t>01_1_</t>
  </si>
  <si>
    <t>01_4_</t>
  </si>
  <si>
    <t>01_5_</t>
  </si>
  <si>
    <t>01_9_</t>
  </si>
  <si>
    <t>02_1_</t>
  </si>
  <si>
    <t>02_4_</t>
  </si>
  <si>
    <t>02_5_</t>
  </si>
  <si>
    <t>02_9_</t>
  </si>
  <si>
    <t>03_1_</t>
  </si>
  <si>
    <t>03_4_</t>
  </si>
  <si>
    <t>03_5_</t>
  </si>
  <si>
    <t>03_8_</t>
  </si>
  <si>
    <t>03_9_</t>
  </si>
  <si>
    <t>01_</t>
  </si>
  <si>
    <t>02_</t>
  </si>
  <si>
    <t>03_</t>
  </si>
  <si>
    <t>Slepý stavební rozpočet - Jen objekty celkem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</si>
  <si>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</si>
  <si>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</si>
  <si>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</si>
  <si>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</si>
  <si>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</si>
  <si>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</si>
  <si>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</si>
  <si>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</si>
  <si>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</si>
  <si>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</si>
  <si>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</si>
  <si>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</si>
  <si>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</si>
  <si>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</si>
  <si>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</si>
  <si>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</si>
  <si>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</si>
  <si>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</si>
  <si>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</si>
  <si>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</si>
  <si>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</si>
  <si>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</si>
  <si>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</si>
  <si>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</si>
  <si>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</si>
  <si>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</si>
  <si>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</si>
  <si>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</si>
  <si>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</si>
  <si>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</si>
  <si>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</si>
  <si>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</si>
  <si>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</si>
  <si>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</si>
  <si>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</si>
  <si>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</si>
  <si>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</si>
  <si>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</si>
  <si>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</si>
  <si>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</si>
  <si>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</si>
  <si>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</si>
  <si>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</si>
  <si>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</si>
  <si>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</si>
  <si>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Slepý krycí list objektu (01 - Barandov)</t>
  </si>
  <si>
    <t>Slepý krycí list objektu (02 - Školní ulice)</t>
  </si>
  <si>
    <t>Slepý krycí list objektu (03 - Loudátova ulice)</t>
  </si>
  <si>
    <t>Fréz.živič krytu pl.do 500 m2,tl.6cm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</si>
</sst>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0" fillId="11" borderId="0" applyNumberFormat="0" applyBorder="0" applyAlignment="0" applyProtection="0"/>
    <xf numFmtId="0" fontId="21" fillId="8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0" fillId="4" borderId="6" applyNumberFormat="0" applyFont="0" applyAlignment="0" applyProtection="0"/>
    <xf numFmtId="43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8" applyNumberFormat="0" applyAlignment="0" applyProtection="0"/>
    <xf numFmtId="0" fontId="31" fillId="13" borderId="8" applyNumberFormat="0" applyAlignment="0" applyProtection="0"/>
    <xf numFmtId="0" fontId="19" fillId="13" borderId="9" applyNumberFormat="0" applyAlignment="0" applyProtection="0"/>
    <xf numFmtId="0" fontId="3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</cellStyleXfs>
  <cellXfs count="13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18" borderId="12" xfId="0" applyNumberFormat="1" applyFont="1" applyFill="1" applyBorder="1" applyAlignment="1" applyProtection="1">
      <alignment horizontal="left" vertical="center"/>
      <protection/>
    </xf>
    <xf numFmtId="49" fontId="5" fillId="19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4" fillId="18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18" borderId="12" xfId="0" applyNumberFormat="1" applyFont="1" applyFill="1" applyBorder="1" applyAlignment="1" applyProtection="1">
      <alignment horizontal="left" vertical="center"/>
      <protection/>
    </xf>
    <xf numFmtId="49" fontId="9" fillId="19" borderId="0" xfId="0" applyNumberFormat="1" applyFont="1" applyFill="1" applyBorder="1" applyAlignment="1" applyProtection="1">
      <alignment horizontal="left" vertical="center"/>
      <protection/>
    </xf>
    <xf numFmtId="49" fontId="8" fillId="18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18" borderId="12" xfId="0" applyNumberFormat="1" applyFont="1" applyFill="1" applyBorder="1" applyAlignment="1" applyProtection="1">
      <alignment horizontal="right" vertical="center"/>
      <protection/>
    </xf>
    <xf numFmtId="49" fontId="9" fillId="19" borderId="0" xfId="0" applyNumberFormat="1" applyFont="1" applyFill="1" applyBorder="1" applyAlignment="1" applyProtection="1">
      <alignment horizontal="right" vertical="center"/>
      <protection/>
    </xf>
    <xf numFmtId="49" fontId="8" fillId="18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18" borderId="12" xfId="0" applyNumberFormat="1" applyFont="1" applyFill="1" applyBorder="1" applyAlignment="1" applyProtection="1">
      <alignment horizontal="right" vertical="center"/>
      <protection/>
    </xf>
    <xf numFmtId="4" fontId="9" fillId="19" borderId="0" xfId="0" applyNumberFormat="1" applyFont="1" applyFill="1" applyBorder="1" applyAlignment="1" applyProtection="1">
      <alignment horizontal="right" vertical="center"/>
      <protection/>
    </xf>
    <xf numFmtId="4" fontId="8" fillId="18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2" fillId="20" borderId="27" xfId="0" applyNumberFormat="1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4" fillId="0" borderId="27" xfId="0" applyNumberFormat="1" applyFont="1" applyFill="1" applyBorder="1" applyAlignment="1" applyProtection="1">
      <alignment horizontal="right" vertical="center"/>
      <protection/>
    </xf>
    <xf numFmtId="49" fontId="14" fillId="0" borderId="27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3" fillId="20" borderId="35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49" fontId="9" fillId="19" borderId="0" xfId="0" applyNumberFormat="1" applyFont="1" applyFill="1" applyBorder="1" applyAlignment="1" applyProtection="1">
      <alignment horizontal="left" vertical="center"/>
      <protection/>
    </xf>
    <xf numFmtId="0" fontId="9" fillId="19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8" fillId="18" borderId="0" xfId="0" applyNumberFormat="1" applyFont="1" applyFill="1" applyBorder="1" applyAlignment="1" applyProtection="1">
      <alignment horizontal="left" vertical="center"/>
      <protection/>
    </xf>
    <xf numFmtId="0" fontId="8" fillId="18" borderId="0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8" fillId="18" borderId="12" xfId="0" applyNumberFormat="1" applyFont="1" applyFill="1" applyBorder="1" applyAlignment="1" applyProtection="1">
      <alignment horizontal="left" vertical="center"/>
      <protection/>
    </xf>
    <xf numFmtId="0" fontId="8" fillId="18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49" fontId="13" fillId="20" borderId="34" xfId="0" applyNumberFormat="1" applyFont="1" applyFill="1" applyBorder="1" applyAlignment="1" applyProtection="1">
      <alignment horizontal="left" vertical="center"/>
      <protection/>
    </xf>
    <xf numFmtId="0" fontId="13" fillId="20" borderId="48" xfId="0" applyNumberFormat="1" applyFont="1" applyFill="1" applyBorder="1" applyAlignment="1" applyProtection="1">
      <alignment horizontal="left" vertical="center"/>
      <protection/>
    </xf>
    <xf numFmtId="49" fontId="14" fillId="0" borderId="49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0" fontId="14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48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 applyProtection="1">
      <alignment horizontal="left" vertical="center"/>
      <protection/>
    </xf>
    <xf numFmtId="0" fontId="15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8"/>
  <sheetViews>
    <sheetView tabSelected="1" zoomScalePageLayoutView="0" workbookViewId="0" topLeftCell="A7">
      <selection activeCell="D25" sqref="D25:G2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3.0039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4" ht="12.75">
      <c r="A2" s="95" t="s">
        <v>1</v>
      </c>
      <c r="B2" s="96"/>
      <c r="C2" s="96"/>
      <c r="D2" s="97" t="s">
        <v>58</v>
      </c>
      <c r="E2" s="99" t="s">
        <v>88</v>
      </c>
      <c r="F2" s="96"/>
      <c r="G2" s="99"/>
      <c r="H2" s="96"/>
      <c r="I2" s="100" t="s">
        <v>103</v>
      </c>
      <c r="J2" s="100"/>
      <c r="K2" s="96"/>
      <c r="L2" s="96"/>
      <c r="M2" s="101"/>
      <c r="N2" s="33"/>
    </row>
    <row r="3" spans="1:14" ht="12.75">
      <c r="A3" s="92"/>
      <c r="B3" s="71"/>
      <c r="C3" s="71"/>
      <c r="D3" s="98"/>
      <c r="E3" s="71"/>
      <c r="F3" s="71"/>
      <c r="G3" s="71"/>
      <c r="H3" s="71"/>
      <c r="I3" s="71"/>
      <c r="J3" s="71"/>
      <c r="K3" s="71"/>
      <c r="L3" s="71"/>
      <c r="M3" s="90"/>
      <c r="N3" s="33"/>
    </row>
    <row r="4" spans="1:14" ht="12.75">
      <c r="A4" s="85" t="s">
        <v>2</v>
      </c>
      <c r="B4" s="71"/>
      <c r="C4" s="71"/>
      <c r="D4" s="70" t="s">
        <v>59</v>
      </c>
      <c r="E4" s="88" t="s">
        <v>89</v>
      </c>
      <c r="F4" s="71"/>
      <c r="G4" s="88" t="s">
        <v>6</v>
      </c>
      <c r="H4" s="71"/>
      <c r="I4" s="70" t="s">
        <v>104</v>
      </c>
      <c r="J4" s="70"/>
      <c r="K4" s="71"/>
      <c r="L4" s="71"/>
      <c r="M4" s="90"/>
      <c r="N4" s="33"/>
    </row>
    <row r="5" spans="1:14" ht="12.75">
      <c r="A5" s="92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90"/>
      <c r="N5" s="33"/>
    </row>
    <row r="6" spans="1:14" ht="12.75">
      <c r="A6" s="85" t="s">
        <v>3</v>
      </c>
      <c r="B6" s="71"/>
      <c r="C6" s="71"/>
      <c r="D6" s="70" t="s">
        <v>60</v>
      </c>
      <c r="E6" s="88" t="s">
        <v>90</v>
      </c>
      <c r="F6" s="71"/>
      <c r="G6" s="71"/>
      <c r="H6" s="71"/>
      <c r="I6" s="70" t="s">
        <v>105</v>
      </c>
      <c r="J6" s="70"/>
      <c r="K6" s="71"/>
      <c r="L6" s="71"/>
      <c r="M6" s="90"/>
      <c r="N6" s="33"/>
    </row>
    <row r="7" spans="1:14" ht="12.75">
      <c r="A7" s="9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90"/>
      <c r="N7" s="33"/>
    </row>
    <row r="8" spans="1:14" ht="12.75">
      <c r="A8" s="85" t="s">
        <v>4</v>
      </c>
      <c r="B8" s="71"/>
      <c r="C8" s="71"/>
      <c r="D8" s="70">
        <v>8222772</v>
      </c>
      <c r="E8" s="88" t="s">
        <v>91</v>
      </c>
      <c r="F8" s="71"/>
      <c r="G8" s="89">
        <v>42733</v>
      </c>
      <c r="H8" s="71"/>
      <c r="I8" s="70" t="s">
        <v>106</v>
      </c>
      <c r="J8" s="70" t="s">
        <v>108</v>
      </c>
      <c r="K8" s="71"/>
      <c r="L8" s="71"/>
      <c r="M8" s="90"/>
      <c r="N8" s="33"/>
    </row>
    <row r="9" spans="1:14" ht="12.75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91"/>
      <c r="N9" s="33"/>
    </row>
    <row r="10" spans="1:14" ht="12.75">
      <c r="A10" s="1" t="s">
        <v>5</v>
      </c>
      <c r="B10" s="10" t="s">
        <v>35</v>
      </c>
      <c r="C10" s="10" t="s">
        <v>39</v>
      </c>
      <c r="D10" s="10" t="s">
        <v>61</v>
      </c>
      <c r="E10" s="10" t="s">
        <v>92</v>
      </c>
      <c r="F10" s="18" t="s">
        <v>97</v>
      </c>
      <c r="G10" s="21" t="s">
        <v>98</v>
      </c>
      <c r="H10" s="80" t="s">
        <v>100</v>
      </c>
      <c r="I10" s="81"/>
      <c r="J10" s="82"/>
      <c r="K10" s="80" t="s">
        <v>110</v>
      </c>
      <c r="L10" s="82"/>
      <c r="M10" s="29" t="s">
        <v>111</v>
      </c>
      <c r="N10" s="34"/>
    </row>
    <row r="11" spans="1:24" ht="12.75">
      <c r="A11" s="2" t="s">
        <v>6</v>
      </c>
      <c r="B11" s="11" t="s">
        <v>6</v>
      </c>
      <c r="C11" s="11" t="s">
        <v>6</v>
      </c>
      <c r="D11" s="16" t="s">
        <v>62</v>
      </c>
      <c r="E11" s="11" t="s">
        <v>6</v>
      </c>
      <c r="F11" s="11" t="s">
        <v>6</v>
      </c>
      <c r="G11" s="22" t="s">
        <v>99</v>
      </c>
      <c r="H11" s="23" t="s">
        <v>101</v>
      </c>
      <c r="I11" s="24" t="s">
        <v>107</v>
      </c>
      <c r="J11" s="25" t="s">
        <v>109</v>
      </c>
      <c r="K11" s="23" t="s">
        <v>98</v>
      </c>
      <c r="L11" s="25" t="s">
        <v>109</v>
      </c>
      <c r="M11" s="30" t="s">
        <v>112</v>
      </c>
      <c r="N11" s="34"/>
      <c r="P11" s="27" t="s">
        <v>114</v>
      </c>
      <c r="Q11" s="27" t="s">
        <v>115</v>
      </c>
      <c r="R11" s="27" t="s">
        <v>116</v>
      </c>
      <c r="S11" s="27" t="s">
        <v>117</v>
      </c>
      <c r="T11" s="27" t="s">
        <v>118</v>
      </c>
      <c r="U11" s="27" t="s">
        <v>119</v>
      </c>
      <c r="V11" s="27" t="s">
        <v>120</v>
      </c>
      <c r="W11" s="27" t="s">
        <v>121</v>
      </c>
      <c r="X11" s="27" t="s">
        <v>122</v>
      </c>
    </row>
    <row r="12" spans="1:13" ht="12.75">
      <c r="A12" s="3"/>
      <c r="B12" s="12" t="s">
        <v>36</v>
      </c>
      <c r="C12" s="12"/>
      <c r="D12" s="83" t="s">
        <v>63</v>
      </c>
      <c r="E12" s="84"/>
      <c r="F12" s="84"/>
      <c r="G12" s="84"/>
      <c r="H12" s="37">
        <f>H13+H16+H18+H20+H25+H27</f>
        <v>0</v>
      </c>
      <c r="I12" s="37">
        <f>I13+I16+I18+I20+I25+I27</f>
        <v>0</v>
      </c>
      <c r="J12" s="37">
        <f>H12+I12</f>
        <v>0</v>
      </c>
      <c r="K12" s="26"/>
      <c r="L12" s="37">
        <f>L13+L16+L18+L20+L25+L27</f>
        <v>264.8915</v>
      </c>
      <c r="M12" s="26"/>
    </row>
    <row r="13" spans="1:37" ht="12.75">
      <c r="A13" s="4"/>
      <c r="B13" s="13" t="s">
        <v>36</v>
      </c>
      <c r="C13" s="13" t="s">
        <v>17</v>
      </c>
      <c r="D13" s="74" t="s">
        <v>64</v>
      </c>
      <c r="E13" s="75"/>
      <c r="F13" s="75"/>
      <c r="G13" s="75"/>
      <c r="H13" s="38">
        <f>SUM(H14:H15)</f>
        <v>0</v>
      </c>
      <c r="I13" s="38">
        <f>SUM(I14:I15)</f>
        <v>0</v>
      </c>
      <c r="J13" s="38">
        <f>H13+I13</f>
        <v>0</v>
      </c>
      <c r="K13" s="27"/>
      <c r="L13" s="38">
        <f>SUM(L14:L15)</f>
        <v>104.94000000000001</v>
      </c>
      <c r="M13" s="27"/>
      <c r="Y13" s="27" t="s">
        <v>36</v>
      </c>
      <c r="AI13" s="38">
        <f>SUM(Z14:Z15)</f>
        <v>0</v>
      </c>
      <c r="AJ13" s="38">
        <f>SUM(AA14:AA15)</f>
        <v>0</v>
      </c>
      <c r="AK13" s="38">
        <f>SUM(AB14:AB15)</f>
        <v>0</v>
      </c>
    </row>
    <row r="14" spans="1:48" ht="12.75">
      <c r="A14" s="5" t="s">
        <v>7</v>
      </c>
      <c r="B14" s="5" t="s">
        <v>36</v>
      </c>
      <c r="C14" s="5" t="s">
        <v>40</v>
      </c>
      <c r="D14" s="5" t="s">
        <v>65</v>
      </c>
      <c r="E14" s="5" t="s">
        <v>93</v>
      </c>
      <c r="F14" s="19">
        <v>690</v>
      </c>
      <c r="G14" s="19">
        <v>0</v>
      </c>
      <c r="H14" s="19">
        <f>F14*AE14</f>
        <v>0</v>
      </c>
      <c r="I14" s="19">
        <f>J14-H14</f>
        <v>0</v>
      </c>
      <c r="J14" s="19">
        <f>F14*G14</f>
        <v>0</v>
      </c>
      <c r="K14" s="19">
        <v>0.11</v>
      </c>
      <c r="L14" s="19">
        <f>F14*K14</f>
        <v>75.9</v>
      </c>
      <c r="M14" s="31" t="s">
        <v>113</v>
      </c>
      <c r="P14" s="35">
        <f>IF(AG14="5",J14,0)</f>
        <v>0</v>
      </c>
      <c r="R14" s="35">
        <f>IF(AG14="1",H14,0)</f>
        <v>0</v>
      </c>
      <c r="S14" s="35">
        <f>IF(AG14="1",I14,0)</f>
        <v>0</v>
      </c>
      <c r="T14" s="35">
        <f>IF(AG14="7",H14,0)</f>
        <v>0</v>
      </c>
      <c r="U14" s="35">
        <f>IF(AG14="7",I14,0)</f>
        <v>0</v>
      </c>
      <c r="V14" s="35">
        <f>IF(AG14="2",H14,0)</f>
        <v>0</v>
      </c>
      <c r="W14" s="35">
        <f>IF(AG14="2",I14,0)</f>
        <v>0</v>
      </c>
      <c r="X14" s="35">
        <f>IF(AG14="0",J14,0)</f>
        <v>0</v>
      </c>
      <c r="Y14" s="27" t="s">
        <v>36</v>
      </c>
      <c r="Z14" s="19">
        <f>IF(AD14=0,J14,0)</f>
        <v>0</v>
      </c>
      <c r="AA14" s="19">
        <f>IF(AD14=15,J14,0)</f>
        <v>0</v>
      </c>
      <c r="AB14" s="19">
        <f>IF(AD14=21,J14,0)</f>
        <v>0</v>
      </c>
      <c r="AD14" s="35">
        <v>21</v>
      </c>
      <c r="AE14" s="35">
        <f>G14*0</f>
        <v>0</v>
      </c>
      <c r="AF14" s="35">
        <f>G14*(1-0)</f>
        <v>0</v>
      </c>
      <c r="AG14" s="31" t="s">
        <v>7</v>
      </c>
      <c r="AM14" s="35">
        <f>F14*AE14</f>
        <v>0</v>
      </c>
      <c r="AN14" s="35">
        <f>F14*AF14</f>
        <v>0</v>
      </c>
      <c r="AO14" s="36" t="s">
        <v>123</v>
      </c>
      <c r="AP14" s="36" t="s">
        <v>130</v>
      </c>
      <c r="AQ14" s="27" t="s">
        <v>143</v>
      </c>
      <c r="AS14" s="35">
        <f>AM14+AN14</f>
        <v>0</v>
      </c>
      <c r="AT14" s="35">
        <f>G14/(100-AU14)*100</f>
        <v>0</v>
      </c>
      <c r="AU14" s="35">
        <v>0</v>
      </c>
      <c r="AV14" s="35">
        <f>L14</f>
        <v>75.9</v>
      </c>
    </row>
    <row r="15" spans="1:48" ht="12.75">
      <c r="A15" s="5" t="s">
        <v>8</v>
      </c>
      <c r="B15" s="5" t="s">
        <v>36</v>
      </c>
      <c r="C15" s="5" t="s">
        <v>41</v>
      </c>
      <c r="D15" s="5" t="s">
        <v>195</v>
      </c>
      <c r="E15" s="5" t="s">
        <v>93</v>
      </c>
      <c r="F15" s="19">
        <v>220</v>
      </c>
      <c r="G15" s="19">
        <v>0</v>
      </c>
      <c r="H15" s="19">
        <f>F15*AE15</f>
        <v>0</v>
      </c>
      <c r="I15" s="19">
        <f>J15-H15</f>
        <v>0</v>
      </c>
      <c r="J15" s="19">
        <f>F15*G15</f>
        <v>0</v>
      </c>
      <c r="K15" s="19">
        <v>0.132</v>
      </c>
      <c r="L15" s="19">
        <f>F15*K15</f>
        <v>29.040000000000003</v>
      </c>
      <c r="M15" s="31" t="s">
        <v>113</v>
      </c>
      <c r="P15" s="35">
        <f>IF(AG15="5",J15,0)</f>
        <v>0</v>
      </c>
      <c r="R15" s="35">
        <f>IF(AG15="1",H15,0)</f>
        <v>0</v>
      </c>
      <c r="S15" s="35">
        <f>IF(AG15="1",I15,0)</f>
        <v>0</v>
      </c>
      <c r="T15" s="35">
        <f>IF(AG15="7",H15,0)</f>
        <v>0</v>
      </c>
      <c r="U15" s="35">
        <f>IF(AG15="7",I15,0)</f>
        <v>0</v>
      </c>
      <c r="V15" s="35">
        <f>IF(AG15="2",H15,0)</f>
        <v>0</v>
      </c>
      <c r="W15" s="35">
        <f>IF(AG15="2",I15,0)</f>
        <v>0</v>
      </c>
      <c r="X15" s="35">
        <f>IF(AG15="0",J15,0)</f>
        <v>0</v>
      </c>
      <c r="Y15" s="27" t="s">
        <v>36</v>
      </c>
      <c r="Z15" s="19">
        <f>IF(AD15=0,J15,0)</f>
        <v>0</v>
      </c>
      <c r="AA15" s="19">
        <f>IF(AD15=15,J15,0)</f>
        <v>0</v>
      </c>
      <c r="AB15" s="19">
        <f>IF(AD15=21,J15,0)</f>
        <v>0</v>
      </c>
      <c r="AD15" s="35">
        <v>21</v>
      </c>
      <c r="AE15" s="35">
        <f>G15*0</f>
        <v>0</v>
      </c>
      <c r="AF15" s="35">
        <f>G15*(1-0)</f>
        <v>0</v>
      </c>
      <c r="AG15" s="31" t="s">
        <v>7</v>
      </c>
      <c r="AM15" s="35">
        <f>F15*AE15</f>
        <v>0</v>
      </c>
      <c r="AN15" s="35">
        <f>F15*AF15</f>
        <v>0</v>
      </c>
      <c r="AO15" s="36" t="s">
        <v>123</v>
      </c>
      <c r="AP15" s="36" t="s">
        <v>130</v>
      </c>
      <c r="AQ15" s="27" t="s">
        <v>143</v>
      </c>
      <c r="AS15" s="35">
        <f>AM15+AN15</f>
        <v>0</v>
      </c>
      <c r="AT15" s="35">
        <f>G15/(100-AU15)*100</f>
        <v>0</v>
      </c>
      <c r="AU15" s="35">
        <v>0</v>
      </c>
      <c r="AV15" s="35">
        <f>L15</f>
        <v>29.040000000000003</v>
      </c>
    </row>
    <row r="16" spans="1:37" ht="12.75">
      <c r="A16" s="4"/>
      <c r="B16" s="13" t="s">
        <v>36</v>
      </c>
      <c r="C16" s="13" t="s">
        <v>42</v>
      </c>
      <c r="D16" s="74" t="s">
        <v>66</v>
      </c>
      <c r="E16" s="75"/>
      <c r="F16" s="75"/>
      <c r="G16" s="75"/>
      <c r="H16" s="38">
        <f>SUM(H17:H17)</f>
        <v>0</v>
      </c>
      <c r="I16" s="38">
        <f>SUM(I17:I17)</f>
        <v>0</v>
      </c>
      <c r="J16" s="38">
        <f>H16+I16</f>
        <v>0</v>
      </c>
      <c r="K16" s="27"/>
      <c r="L16" s="38">
        <f>SUM(L17:L17)</f>
        <v>0.015</v>
      </c>
      <c r="M16" s="27"/>
      <c r="Y16" s="27" t="s">
        <v>36</v>
      </c>
      <c r="AI16" s="38">
        <f>SUM(Z17:Z17)</f>
        <v>0</v>
      </c>
      <c r="AJ16" s="38">
        <f>SUM(AA17:AA17)</f>
        <v>0</v>
      </c>
      <c r="AK16" s="38">
        <f>SUM(AB17:AB17)</f>
        <v>0</v>
      </c>
    </row>
    <row r="17" spans="1:48" ht="12.75">
      <c r="A17" s="5" t="s">
        <v>9</v>
      </c>
      <c r="B17" s="5" t="s">
        <v>36</v>
      </c>
      <c r="C17" s="5" t="s">
        <v>43</v>
      </c>
      <c r="D17" s="5" t="s">
        <v>67</v>
      </c>
      <c r="E17" s="5" t="s">
        <v>94</v>
      </c>
      <c r="F17" s="19">
        <v>30</v>
      </c>
      <c r="G17" s="19">
        <v>0</v>
      </c>
      <c r="H17" s="19">
        <f>F17*AE17</f>
        <v>0</v>
      </c>
      <c r="I17" s="19">
        <f>J17-H17</f>
        <v>0</v>
      </c>
      <c r="J17" s="19">
        <f>F17*G17</f>
        <v>0</v>
      </c>
      <c r="K17" s="19">
        <v>0.0005</v>
      </c>
      <c r="L17" s="19">
        <f>F17*K17</f>
        <v>0.015</v>
      </c>
      <c r="M17" s="31" t="s">
        <v>113</v>
      </c>
      <c r="P17" s="35">
        <f>IF(AG17="5",J17,0)</f>
        <v>0</v>
      </c>
      <c r="R17" s="35">
        <f>IF(AG17="1",H17,0)</f>
        <v>0</v>
      </c>
      <c r="S17" s="35">
        <f>IF(AG17="1",I17,0)</f>
        <v>0</v>
      </c>
      <c r="T17" s="35">
        <f>IF(AG17="7",H17,0)</f>
        <v>0</v>
      </c>
      <c r="U17" s="35">
        <f>IF(AG17="7",I17,0)</f>
        <v>0</v>
      </c>
      <c r="V17" s="35">
        <f>IF(AG17="2",H17,0)</f>
        <v>0</v>
      </c>
      <c r="W17" s="35">
        <f>IF(AG17="2",I17,0)</f>
        <v>0</v>
      </c>
      <c r="X17" s="35">
        <f>IF(AG17="0",J17,0)</f>
        <v>0</v>
      </c>
      <c r="Y17" s="27" t="s">
        <v>36</v>
      </c>
      <c r="Z17" s="19">
        <f>IF(AD17=0,J17,0)</f>
        <v>0</v>
      </c>
      <c r="AA17" s="19">
        <f>IF(AD17=15,J17,0)</f>
        <v>0</v>
      </c>
      <c r="AB17" s="19">
        <f>IF(AD17=21,J17,0)</f>
        <v>0</v>
      </c>
      <c r="AD17" s="35">
        <v>21</v>
      </c>
      <c r="AE17" s="35">
        <f>G17*0.475980392156863</f>
        <v>0</v>
      </c>
      <c r="AF17" s="35">
        <f>G17*(1-0.475980392156863)</f>
        <v>0</v>
      </c>
      <c r="AG17" s="31" t="s">
        <v>7</v>
      </c>
      <c r="AM17" s="35">
        <f>F17*AE17</f>
        <v>0</v>
      </c>
      <c r="AN17" s="35">
        <f>F17*AF17</f>
        <v>0</v>
      </c>
      <c r="AO17" s="36" t="s">
        <v>124</v>
      </c>
      <c r="AP17" s="36" t="s">
        <v>131</v>
      </c>
      <c r="AQ17" s="27" t="s">
        <v>143</v>
      </c>
      <c r="AS17" s="35">
        <f>AM17+AN17</f>
        <v>0</v>
      </c>
      <c r="AT17" s="35">
        <f>G17/(100-AU17)*100</f>
        <v>0</v>
      </c>
      <c r="AU17" s="35">
        <v>0</v>
      </c>
      <c r="AV17" s="35">
        <f>L17</f>
        <v>0.015</v>
      </c>
    </row>
    <row r="18" spans="1:37" ht="12.75">
      <c r="A18" s="4"/>
      <c r="B18" s="13" t="s">
        <v>36</v>
      </c>
      <c r="C18" s="13" t="s">
        <v>44</v>
      </c>
      <c r="D18" s="74" t="s">
        <v>68</v>
      </c>
      <c r="E18" s="75"/>
      <c r="F18" s="75"/>
      <c r="G18" s="75"/>
      <c r="H18" s="38">
        <f>SUM(H19:H19)</f>
        <v>0</v>
      </c>
      <c r="I18" s="38">
        <f>SUM(I19:I19)</f>
        <v>0</v>
      </c>
      <c r="J18" s="38">
        <f>H18+I18</f>
        <v>0</v>
      </c>
      <c r="K18" s="27"/>
      <c r="L18" s="38">
        <f>SUM(L19:L19)</f>
        <v>7.1610000000000005</v>
      </c>
      <c r="M18" s="27"/>
      <c r="Y18" s="27" t="s">
        <v>36</v>
      </c>
      <c r="AI18" s="38">
        <f>SUM(Z19:Z19)</f>
        <v>0</v>
      </c>
      <c r="AJ18" s="38">
        <f>SUM(AA19:AA19)</f>
        <v>0</v>
      </c>
      <c r="AK18" s="38">
        <f>SUM(AB19:AB19)</f>
        <v>0</v>
      </c>
    </row>
    <row r="19" spans="1:48" ht="12.75">
      <c r="A19" s="5" t="s">
        <v>10</v>
      </c>
      <c r="B19" s="5" t="s">
        <v>36</v>
      </c>
      <c r="C19" s="5" t="s">
        <v>45</v>
      </c>
      <c r="D19" s="5" t="s">
        <v>69</v>
      </c>
      <c r="E19" s="5" t="s">
        <v>93</v>
      </c>
      <c r="F19" s="19">
        <v>70</v>
      </c>
      <c r="G19" s="19">
        <v>0</v>
      </c>
      <c r="H19" s="19">
        <f>F19*AE19</f>
        <v>0</v>
      </c>
      <c r="I19" s="19">
        <f>J19-H19</f>
        <v>0</v>
      </c>
      <c r="J19" s="19">
        <f>F19*G19</f>
        <v>0</v>
      </c>
      <c r="K19" s="19">
        <v>0.1023</v>
      </c>
      <c r="L19" s="19">
        <f>F19*K19</f>
        <v>7.1610000000000005</v>
      </c>
      <c r="M19" s="31" t="s">
        <v>113</v>
      </c>
      <c r="P19" s="35">
        <f>IF(AG19="5",J19,0)</f>
        <v>0</v>
      </c>
      <c r="R19" s="35">
        <f>IF(AG19="1",H19,0)</f>
        <v>0</v>
      </c>
      <c r="S19" s="35">
        <f>IF(AG19="1",I19,0)</f>
        <v>0</v>
      </c>
      <c r="T19" s="35">
        <f>IF(AG19="7",H19,0)</f>
        <v>0</v>
      </c>
      <c r="U19" s="35">
        <f>IF(AG19="7",I19,0)</f>
        <v>0</v>
      </c>
      <c r="V19" s="35">
        <f>IF(AG19="2",H19,0)</f>
        <v>0</v>
      </c>
      <c r="W19" s="35">
        <f>IF(AG19="2",I19,0)</f>
        <v>0</v>
      </c>
      <c r="X19" s="35">
        <f>IF(AG19="0",J19,0)</f>
        <v>0</v>
      </c>
      <c r="Y19" s="27" t="s">
        <v>36</v>
      </c>
      <c r="Z19" s="19">
        <f>IF(AD19=0,J19,0)</f>
        <v>0</v>
      </c>
      <c r="AA19" s="19">
        <f>IF(AD19=15,J19,0)</f>
        <v>0</v>
      </c>
      <c r="AB19" s="19">
        <f>IF(AD19=21,J19,0)</f>
        <v>0</v>
      </c>
      <c r="AD19" s="35">
        <v>21</v>
      </c>
      <c r="AE19" s="35">
        <f>G19*0.626237102547905</f>
        <v>0</v>
      </c>
      <c r="AF19" s="35">
        <f>G19*(1-0.626237102547905)</f>
        <v>0</v>
      </c>
      <c r="AG19" s="31" t="s">
        <v>7</v>
      </c>
      <c r="AM19" s="35">
        <f>F19*AE19</f>
        <v>0</v>
      </c>
      <c r="AN19" s="35">
        <f>F19*AF19</f>
        <v>0</v>
      </c>
      <c r="AO19" s="36" t="s">
        <v>125</v>
      </c>
      <c r="AP19" s="36" t="s">
        <v>132</v>
      </c>
      <c r="AQ19" s="27" t="s">
        <v>143</v>
      </c>
      <c r="AS19" s="35">
        <f>AM19+AN19</f>
        <v>0</v>
      </c>
      <c r="AT19" s="35">
        <f>G19/(100-AU19)*100</f>
        <v>0</v>
      </c>
      <c r="AU19" s="35">
        <v>0</v>
      </c>
      <c r="AV19" s="35">
        <f>L19</f>
        <v>7.1610000000000005</v>
      </c>
    </row>
    <row r="20" spans="1:37" ht="12.75">
      <c r="A20" s="4"/>
      <c r="B20" s="13" t="s">
        <v>36</v>
      </c>
      <c r="C20" s="13" t="s">
        <v>46</v>
      </c>
      <c r="D20" s="74" t="s">
        <v>70</v>
      </c>
      <c r="E20" s="75"/>
      <c r="F20" s="75"/>
      <c r="G20" s="75"/>
      <c r="H20" s="38">
        <f>SUM(H21:H24)</f>
        <v>0</v>
      </c>
      <c r="I20" s="38">
        <f>SUM(I21:I24)</f>
        <v>0</v>
      </c>
      <c r="J20" s="38">
        <f>H20+I20</f>
        <v>0</v>
      </c>
      <c r="K20" s="27"/>
      <c r="L20" s="38">
        <f>SUM(L21:L24)</f>
        <v>152.7755</v>
      </c>
      <c r="M20" s="27"/>
      <c r="Y20" s="27" t="s">
        <v>36</v>
      </c>
      <c r="AI20" s="38">
        <f>SUM(Z21:Z24)</f>
        <v>0</v>
      </c>
      <c r="AJ20" s="38">
        <f>SUM(AA21:AA24)</f>
        <v>0</v>
      </c>
      <c r="AK20" s="38">
        <f>SUM(AB21:AB24)</f>
        <v>0</v>
      </c>
    </row>
    <row r="21" spans="1:48" ht="12.75">
      <c r="A21" s="5" t="s">
        <v>11</v>
      </c>
      <c r="B21" s="5" t="s">
        <v>36</v>
      </c>
      <c r="C21" s="5" t="s">
        <v>47</v>
      </c>
      <c r="D21" s="5" t="s">
        <v>71</v>
      </c>
      <c r="E21" s="5" t="s">
        <v>93</v>
      </c>
      <c r="F21" s="19">
        <v>910</v>
      </c>
      <c r="G21" s="19">
        <v>0</v>
      </c>
      <c r="H21" s="19">
        <f>F21*AE21</f>
        <v>0</v>
      </c>
      <c r="I21" s="19">
        <f>J21-H21</f>
        <v>0</v>
      </c>
      <c r="J21" s="19">
        <f>F21*G21</f>
        <v>0</v>
      </c>
      <c r="K21" s="19">
        <v>0.00061</v>
      </c>
      <c r="L21" s="19">
        <f>F21*K21</f>
        <v>0.5550999999999999</v>
      </c>
      <c r="M21" s="31" t="s">
        <v>113</v>
      </c>
      <c r="P21" s="35">
        <f>IF(AG21="5",J21,0)</f>
        <v>0</v>
      </c>
      <c r="R21" s="35">
        <f>IF(AG21="1",H21,0)</f>
        <v>0</v>
      </c>
      <c r="S21" s="35">
        <f>IF(AG21="1",I21,0)</f>
        <v>0</v>
      </c>
      <c r="T21" s="35">
        <f>IF(AG21="7",H21,0)</f>
        <v>0</v>
      </c>
      <c r="U21" s="35">
        <f>IF(AG21="7",I21,0)</f>
        <v>0</v>
      </c>
      <c r="V21" s="35">
        <f>IF(AG21="2",H21,0)</f>
        <v>0</v>
      </c>
      <c r="W21" s="35">
        <f>IF(AG21="2",I21,0)</f>
        <v>0</v>
      </c>
      <c r="X21" s="35">
        <f>IF(AG21="0",J21,0)</f>
        <v>0</v>
      </c>
      <c r="Y21" s="27" t="s">
        <v>36</v>
      </c>
      <c r="Z21" s="19">
        <f>IF(AD21=0,J21,0)</f>
        <v>0</v>
      </c>
      <c r="AA21" s="19">
        <f>IF(AD21=15,J21,0)</f>
        <v>0</v>
      </c>
      <c r="AB21" s="19">
        <f>IF(AD21=21,J21,0)</f>
        <v>0</v>
      </c>
      <c r="AD21" s="35">
        <v>21</v>
      </c>
      <c r="AE21" s="35">
        <f>G21*0.932857142857143</f>
        <v>0</v>
      </c>
      <c r="AF21" s="35">
        <f>G21*(1-0.932857142857143)</f>
        <v>0</v>
      </c>
      <c r="AG21" s="31" t="s">
        <v>7</v>
      </c>
      <c r="AM21" s="35">
        <f>F21*AE21</f>
        <v>0</v>
      </c>
      <c r="AN21" s="35">
        <f>F21*AF21</f>
        <v>0</v>
      </c>
      <c r="AO21" s="36" t="s">
        <v>126</v>
      </c>
      <c r="AP21" s="36" t="s">
        <v>132</v>
      </c>
      <c r="AQ21" s="27" t="s">
        <v>143</v>
      </c>
      <c r="AS21" s="35">
        <f>AM21+AN21</f>
        <v>0</v>
      </c>
      <c r="AT21" s="35">
        <f>G21/(100-AU21)*100</f>
        <v>0</v>
      </c>
      <c r="AU21" s="35">
        <v>0</v>
      </c>
      <c r="AV21" s="35">
        <f>L21</f>
        <v>0.5550999999999999</v>
      </c>
    </row>
    <row r="22" spans="3:13" ht="12.75">
      <c r="C22" s="15" t="s">
        <v>34</v>
      </c>
      <c r="D22" s="72" t="s">
        <v>72</v>
      </c>
      <c r="E22" s="73"/>
      <c r="F22" s="73"/>
      <c r="G22" s="73"/>
      <c r="H22" s="73"/>
      <c r="I22" s="73"/>
      <c r="J22" s="73"/>
      <c r="K22" s="73"/>
      <c r="L22" s="73"/>
      <c r="M22" s="73"/>
    </row>
    <row r="23" spans="1:48" ht="12.75">
      <c r="A23" s="5" t="s">
        <v>12</v>
      </c>
      <c r="B23" s="5" t="s">
        <v>36</v>
      </c>
      <c r="C23" s="5" t="s">
        <v>48</v>
      </c>
      <c r="D23" s="5" t="s">
        <v>73</v>
      </c>
      <c r="E23" s="5" t="s">
        <v>93</v>
      </c>
      <c r="F23" s="19">
        <v>910</v>
      </c>
      <c r="G23" s="19">
        <v>0</v>
      </c>
      <c r="H23" s="19">
        <f>F23*AE23</f>
        <v>0</v>
      </c>
      <c r="I23" s="19">
        <f>J23-H23</f>
        <v>0</v>
      </c>
      <c r="J23" s="19">
        <f>F23*G23</f>
        <v>0</v>
      </c>
      <c r="K23" s="19">
        <v>0.12966</v>
      </c>
      <c r="L23" s="19">
        <f>F23*K23</f>
        <v>117.9906</v>
      </c>
      <c r="M23" s="31" t="s">
        <v>113</v>
      </c>
      <c r="P23" s="35">
        <f>IF(AG23="5",J23,0)</f>
        <v>0</v>
      </c>
      <c r="R23" s="35">
        <f>IF(AG23="1",H23,0)</f>
        <v>0</v>
      </c>
      <c r="S23" s="35">
        <f>IF(AG23="1",I23,0)</f>
        <v>0</v>
      </c>
      <c r="T23" s="35">
        <f>IF(AG23="7",H23,0)</f>
        <v>0</v>
      </c>
      <c r="U23" s="35">
        <f>IF(AG23="7",I23,0)</f>
        <v>0</v>
      </c>
      <c r="V23" s="35">
        <f>IF(AG23="2",H23,0)</f>
        <v>0</v>
      </c>
      <c r="W23" s="35">
        <f>IF(AG23="2",I23,0)</f>
        <v>0</v>
      </c>
      <c r="X23" s="35">
        <f>IF(AG23="0",J23,0)</f>
        <v>0</v>
      </c>
      <c r="Y23" s="27" t="s">
        <v>36</v>
      </c>
      <c r="Z23" s="19">
        <f>IF(AD23=0,J23,0)</f>
        <v>0</v>
      </c>
      <c r="AA23" s="19">
        <f>IF(AD23=15,J23,0)</f>
        <v>0</v>
      </c>
      <c r="AB23" s="19">
        <f>IF(AD23=21,J23,0)</f>
        <v>0</v>
      </c>
      <c r="AD23" s="35">
        <v>21</v>
      </c>
      <c r="AE23" s="35">
        <f>G23*0.624036076662909</f>
        <v>0</v>
      </c>
      <c r="AF23" s="35">
        <f>G23*(1-0.624036076662909)</f>
        <v>0</v>
      </c>
      <c r="AG23" s="31" t="s">
        <v>7</v>
      </c>
      <c r="AM23" s="35">
        <f>F23*AE23</f>
        <v>0</v>
      </c>
      <c r="AN23" s="35">
        <f>F23*AF23</f>
        <v>0</v>
      </c>
      <c r="AO23" s="36" t="s">
        <v>126</v>
      </c>
      <c r="AP23" s="36" t="s">
        <v>132</v>
      </c>
      <c r="AQ23" s="27" t="s">
        <v>143</v>
      </c>
      <c r="AS23" s="35">
        <f>AM23+AN23</f>
        <v>0</v>
      </c>
      <c r="AT23" s="35">
        <f>G23/(100-AU23)*100</f>
        <v>0</v>
      </c>
      <c r="AU23" s="35">
        <v>0</v>
      </c>
      <c r="AV23" s="35">
        <f>L23</f>
        <v>117.9906</v>
      </c>
    </row>
    <row r="24" spans="1:48" ht="12.75">
      <c r="A24" s="5" t="s">
        <v>13</v>
      </c>
      <c r="B24" s="5" t="s">
        <v>36</v>
      </c>
      <c r="C24" s="5" t="s">
        <v>49</v>
      </c>
      <c r="D24" s="5" t="s">
        <v>74</v>
      </c>
      <c r="E24" s="5" t="s">
        <v>93</v>
      </c>
      <c r="F24" s="19">
        <v>220</v>
      </c>
      <c r="G24" s="19">
        <v>0</v>
      </c>
      <c r="H24" s="19">
        <f>F24*AE24</f>
        <v>0</v>
      </c>
      <c r="I24" s="19">
        <f>J24-H24</f>
        <v>0</v>
      </c>
      <c r="J24" s="19">
        <f>F24*G24</f>
        <v>0</v>
      </c>
      <c r="K24" s="19">
        <v>0.15559</v>
      </c>
      <c r="L24" s="19">
        <f>F24*K24</f>
        <v>34.229800000000004</v>
      </c>
      <c r="M24" s="31" t="s">
        <v>113</v>
      </c>
      <c r="P24" s="35">
        <f>IF(AG24="5",J24,0)</f>
        <v>0</v>
      </c>
      <c r="R24" s="35">
        <f>IF(AG24="1",H24,0)</f>
        <v>0</v>
      </c>
      <c r="S24" s="35">
        <f>IF(AG24="1",I24,0)</f>
        <v>0</v>
      </c>
      <c r="T24" s="35">
        <f>IF(AG24="7",H24,0)</f>
        <v>0</v>
      </c>
      <c r="U24" s="35">
        <f>IF(AG24="7",I24,0)</f>
        <v>0</v>
      </c>
      <c r="V24" s="35">
        <f>IF(AG24="2",H24,0)</f>
        <v>0</v>
      </c>
      <c r="W24" s="35">
        <f>IF(AG24="2",I24,0)</f>
        <v>0</v>
      </c>
      <c r="X24" s="35">
        <f>IF(AG24="0",J24,0)</f>
        <v>0</v>
      </c>
      <c r="Y24" s="27" t="s">
        <v>36</v>
      </c>
      <c r="Z24" s="19">
        <f>IF(AD24=0,J24,0)</f>
        <v>0</v>
      </c>
      <c r="AA24" s="19">
        <f>IF(AD24=15,J24,0)</f>
        <v>0</v>
      </c>
      <c r="AB24" s="19">
        <f>IF(AD24=21,J24,0)</f>
        <v>0</v>
      </c>
      <c r="AD24" s="35">
        <v>21</v>
      </c>
      <c r="AE24" s="35">
        <f>G24*0.61369795516137</f>
        <v>0</v>
      </c>
      <c r="AF24" s="35">
        <f>G24*(1-0.61369795516137)</f>
        <v>0</v>
      </c>
      <c r="AG24" s="31" t="s">
        <v>7</v>
      </c>
      <c r="AM24" s="35">
        <f>F24*AE24</f>
        <v>0</v>
      </c>
      <c r="AN24" s="35">
        <f>F24*AF24</f>
        <v>0</v>
      </c>
      <c r="AO24" s="36" t="s">
        <v>126</v>
      </c>
      <c r="AP24" s="36" t="s">
        <v>132</v>
      </c>
      <c r="AQ24" s="27" t="s">
        <v>143</v>
      </c>
      <c r="AS24" s="35">
        <f>AM24+AN24</f>
        <v>0</v>
      </c>
      <c r="AT24" s="35">
        <f>G24/(100-AU24)*100</f>
        <v>0</v>
      </c>
      <c r="AU24" s="35">
        <v>0</v>
      </c>
      <c r="AV24" s="35">
        <f>L24</f>
        <v>34.229800000000004</v>
      </c>
    </row>
    <row r="25" spans="1:37" ht="12.75">
      <c r="A25" s="4"/>
      <c r="B25" s="13" t="s">
        <v>36</v>
      </c>
      <c r="C25" s="13" t="s">
        <v>50</v>
      </c>
      <c r="D25" s="74" t="s">
        <v>75</v>
      </c>
      <c r="E25" s="75"/>
      <c r="F25" s="75"/>
      <c r="G25" s="75"/>
      <c r="H25" s="38">
        <f>SUM(H26:H26)</f>
        <v>0</v>
      </c>
      <c r="I25" s="38">
        <f>SUM(I26:I26)</f>
        <v>0</v>
      </c>
      <c r="J25" s="38">
        <f>H25+I25</f>
        <v>0</v>
      </c>
      <c r="K25" s="27"/>
      <c r="L25" s="38">
        <f>SUM(L26:L26)</f>
        <v>0</v>
      </c>
      <c r="M25" s="27"/>
      <c r="Y25" s="27" t="s">
        <v>36</v>
      </c>
      <c r="AI25" s="38">
        <f>SUM(Z26:Z26)</f>
        <v>0</v>
      </c>
      <c r="AJ25" s="38">
        <f>SUM(AA26:AA26)</f>
        <v>0</v>
      </c>
      <c r="AK25" s="38">
        <f>SUM(AB26:AB26)</f>
        <v>0</v>
      </c>
    </row>
    <row r="26" spans="1:48" ht="12.75">
      <c r="A26" s="5" t="s">
        <v>14</v>
      </c>
      <c r="B26" s="5" t="s">
        <v>36</v>
      </c>
      <c r="C26" s="5" t="s">
        <v>51</v>
      </c>
      <c r="D26" s="5" t="s">
        <v>76</v>
      </c>
      <c r="E26" s="5" t="s">
        <v>95</v>
      </c>
      <c r="F26" s="19">
        <v>180.6723</v>
      </c>
      <c r="G26" s="19">
        <v>0</v>
      </c>
      <c r="H26" s="19">
        <f>F26*AE26</f>
        <v>0</v>
      </c>
      <c r="I26" s="19">
        <f>J26-H26</f>
        <v>0</v>
      </c>
      <c r="J26" s="19">
        <f>F26*G26</f>
        <v>0</v>
      </c>
      <c r="K26" s="19">
        <v>0</v>
      </c>
      <c r="L26" s="19">
        <f>F26*K26</f>
        <v>0</v>
      </c>
      <c r="M26" s="31" t="s">
        <v>113</v>
      </c>
      <c r="P26" s="35">
        <f>IF(AG26="5",J26,0)</f>
        <v>0</v>
      </c>
      <c r="R26" s="35">
        <f>IF(AG26="1",H26,0)</f>
        <v>0</v>
      </c>
      <c r="S26" s="35">
        <f>IF(AG26="1",I26,0)</f>
        <v>0</v>
      </c>
      <c r="T26" s="35">
        <f>IF(AG26="7",H26,0)</f>
        <v>0</v>
      </c>
      <c r="U26" s="35">
        <f>IF(AG26="7",I26,0)</f>
        <v>0</v>
      </c>
      <c r="V26" s="35">
        <f>IF(AG26="2",H26,0)</f>
        <v>0</v>
      </c>
      <c r="W26" s="35">
        <f>IF(AG26="2",I26,0)</f>
        <v>0</v>
      </c>
      <c r="X26" s="35">
        <f>IF(AG26="0",J26,0)</f>
        <v>0</v>
      </c>
      <c r="Y26" s="27" t="s">
        <v>36</v>
      </c>
      <c r="Z26" s="19">
        <f>IF(AD26=0,J26,0)</f>
        <v>0</v>
      </c>
      <c r="AA26" s="19">
        <f>IF(AD26=15,J26,0)</f>
        <v>0</v>
      </c>
      <c r="AB26" s="19">
        <f>IF(AD26=21,J26,0)</f>
        <v>0</v>
      </c>
      <c r="AD26" s="35">
        <v>21</v>
      </c>
      <c r="AE26" s="35">
        <f>G26*0</f>
        <v>0</v>
      </c>
      <c r="AF26" s="35">
        <f>G26*(1-0)</f>
        <v>0</v>
      </c>
      <c r="AG26" s="31" t="s">
        <v>11</v>
      </c>
      <c r="AM26" s="35">
        <f>F26*AE26</f>
        <v>0</v>
      </c>
      <c r="AN26" s="35">
        <f>F26*AF26</f>
        <v>0</v>
      </c>
      <c r="AO26" s="36" t="s">
        <v>127</v>
      </c>
      <c r="AP26" s="36" t="s">
        <v>133</v>
      </c>
      <c r="AQ26" s="27" t="s">
        <v>143</v>
      </c>
      <c r="AS26" s="35">
        <f>AM26+AN26</f>
        <v>0</v>
      </c>
      <c r="AT26" s="35">
        <f>G26/(100-AU26)*100</f>
        <v>0</v>
      </c>
      <c r="AU26" s="35">
        <v>0</v>
      </c>
      <c r="AV26" s="35">
        <f>L26</f>
        <v>0</v>
      </c>
    </row>
    <row r="27" spans="1:37" ht="12.75">
      <c r="A27" s="4"/>
      <c r="B27" s="13" t="s">
        <v>36</v>
      </c>
      <c r="C27" s="13" t="s">
        <v>52</v>
      </c>
      <c r="D27" s="74" t="s">
        <v>77</v>
      </c>
      <c r="E27" s="75"/>
      <c r="F27" s="75"/>
      <c r="G27" s="75"/>
      <c r="H27" s="38">
        <f>SUM(H28:H29)</f>
        <v>0</v>
      </c>
      <c r="I27" s="38">
        <f>SUM(I28:I29)</f>
        <v>0</v>
      </c>
      <c r="J27" s="38">
        <f>H27+I27</f>
        <v>0</v>
      </c>
      <c r="K27" s="27"/>
      <c r="L27" s="38">
        <f>SUM(L28:L29)</f>
        <v>0</v>
      </c>
      <c r="M27" s="27"/>
      <c r="Y27" s="27" t="s">
        <v>36</v>
      </c>
      <c r="AI27" s="38">
        <f>SUM(Z28:Z29)</f>
        <v>0</v>
      </c>
      <c r="AJ27" s="38">
        <f>SUM(AA28:AA29)</f>
        <v>0</v>
      </c>
      <c r="AK27" s="38">
        <f>SUM(AB28:AB29)</f>
        <v>0</v>
      </c>
    </row>
    <row r="28" spans="1:48" ht="12.75">
      <c r="A28" s="5" t="s">
        <v>15</v>
      </c>
      <c r="B28" s="5" t="s">
        <v>36</v>
      </c>
      <c r="C28" s="5" t="s">
        <v>53</v>
      </c>
      <c r="D28" s="5" t="s">
        <v>78</v>
      </c>
      <c r="E28" s="5" t="s">
        <v>95</v>
      </c>
      <c r="F28" s="19">
        <v>94.94</v>
      </c>
      <c r="G28" s="19">
        <v>0</v>
      </c>
      <c r="H28" s="19">
        <f>F28*AE28</f>
        <v>0</v>
      </c>
      <c r="I28" s="19">
        <f>J28-H28</f>
        <v>0</v>
      </c>
      <c r="J28" s="19">
        <f>F28*G28</f>
        <v>0</v>
      </c>
      <c r="K28" s="19">
        <v>0</v>
      </c>
      <c r="L28" s="19">
        <f>F28*K28</f>
        <v>0</v>
      </c>
      <c r="M28" s="31" t="s">
        <v>113</v>
      </c>
      <c r="P28" s="35">
        <f>IF(AG28="5",J28,0)</f>
        <v>0</v>
      </c>
      <c r="R28" s="35">
        <f>IF(AG28="1",H28,0)</f>
        <v>0</v>
      </c>
      <c r="S28" s="35">
        <f>IF(AG28="1",I28,0)</f>
        <v>0</v>
      </c>
      <c r="T28" s="35">
        <f>IF(AG28="7",H28,0)</f>
        <v>0</v>
      </c>
      <c r="U28" s="35">
        <f>IF(AG28="7",I28,0)</f>
        <v>0</v>
      </c>
      <c r="V28" s="35">
        <f>IF(AG28="2",H28,0)</f>
        <v>0</v>
      </c>
      <c r="W28" s="35">
        <f>IF(AG28="2",I28,0)</f>
        <v>0</v>
      </c>
      <c r="X28" s="35">
        <f>IF(AG28="0",J28,0)</f>
        <v>0</v>
      </c>
      <c r="Y28" s="27" t="s">
        <v>36</v>
      </c>
      <c r="Z28" s="19">
        <f>IF(AD28=0,J28,0)</f>
        <v>0</v>
      </c>
      <c r="AA28" s="19">
        <f>IF(AD28=15,J28,0)</f>
        <v>0</v>
      </c>
      <c r="AB28" s="19">
        <f>IF(AD28=21,J28,0)</f>
        <v>0</v>
      </c>
      <c r="AD28" s="35">
        <v>21</v>
      </c>
      <c r="AE28" s="35">
        <f>G28*0</f>
        <v>0</v>
      </c>
      <c r="AF28" s="35">
        <f>G28*(1-0)</f>
        <v>0</v>
      </c>
      <c r="AG28" s="31" t="s">
        <v>11</v>
      </c>
      <c r="AM28" s="35">
        <f>F28*AE28</f>
        <v>0</v>
      </c>
      <c r="AN28" s="35">
        <f>F28*AF28</f>
        <v>0</v>
      </c>
      <c r="AO28" s="36" t="s">
        <v>128</v>
      </c>
      <c r="AP28" s="36" t="s">
        <v>133</v>
      </c>
      <c r="AQ28" s="27" t="s">
        <v>143</v>
      </c>
      <c r="AS28" s="35">
        <f>AM28+AN28</f>
        <v>0</v>
      </c>
      <c r="AT28" s="35">
        <f>G28/(100-AU28)*100</f>
        <v>0</v>
      </c>
      <c r="AU28" s="35">
        <v>0</v>
      </c>
      <c r="AV28" s="35">
        <f>L28</f>
        <v>0</v>
      </c>
    </row>
    <row r="29" spans="1:48" ht="12.75">
      <c r="A29" s="5" t="s">
        <v>16</v>
      </c>
      <c r="B29" s="5" t="s">
        <v>36</v>
      </c>
      <c r="C29" s="5" t="s">
        <v>54</v>
      </c>
      <c r="D29" s="5" t="s">
        <v>79</v>
      </c>
      <c r="E29" s="5" t="s">
        <v>95</v>
      </c>
      <c r="F29" s="19">
        <v>94.94</v>
      </c>
      <c r="G29" s="19">
        <v>0</v>
      </c>
      <c r="H29" s="19">
        <f>F29*AE29</f>
        <v>0</v>
      </c>
      <c r="I29" s="19">
        <f>J29-H29</f>
        <v>0</v>
      </c>
      <c r="J29" s="19">
        <f>F29*G29</f>
        <v>0</v>
      </c>
      <c r="K29" s="19">
        <v>0</v>
      </c>
      <c r="L29" s="19">
        <f>F29*K29</f>
        <v>0</v>
      </c>
      <c r="M29" s="31" t="s">
        <v>113</v>
      </c>
      <c r="P29" s="35">
        <f>IF(AG29="5",J29,0)</f>
        <v>0</v>
      </c>
      <c r="R29" s="35">
        <f>IF(AG29="1",H29,0)</f>
        <v>0</v>
      </c>
      <c r="S29" s="35">
        <f>IF(AG29="1",I29,0)</f>
        <v>0</v>
      </c>
      <c r="T29" s="35">
        <f>IF(AG29="7",H29,0)</f>
        <v>0</v>
      </c>
      <c r="U29" s="35">
        <f>IF(AG29="7",I29,0)</f>
        <v>0</v>
      </c>
      <c r="V29" s="35">
        <f>IF(AG29="2",H29,0)</f>
        <v>0</v>
      </c>
      <c r="W29" s="35">
        <f>IF(AG29="2",I29,0)</f>
        <v>0</v>
      </c>
      <c r="X29" s="35">
        <f>IF(AG29="0",J29,0)</f>
        <v>0</v>
      </c>
      <c r="Y29" s="27" t="s">
        <v>36</v>
      </c>
      <c r="Z29" s="19">
        <f>IF(AD29=0,J29,0)</f>
        <v>0</v>
      </c>
      <c r="AA29" s="19">
        <f>IF(AD29=15,J29,0)</f>
        <v>0</v>
      </c>
      <c r="AB29" s="19">
        <f>IF(AD29=21,J29,0)</f>
        <v>0</v>
      </c>
      <c r="AD29" s="35">
        <v>21</v>
      </c>
      <c r="AE29" s="35">
        <f>G29*0</f>
        <v>0</v>
      </c>
      <c r="AF29" s="35">
        <f>G29*(1-0)</f>
        <v>0</v>
      </c>
      <c r="AG29" s="31" t="s">
        <v>11</v>
      </c>
      <c r="AM29" s="35">
        <f>F29*AE29</f>
        <v>0</v>
      </c>
      <c r="AN29" s="35">
        <f>F29*AF29</f>
        <v>0</v>
      </c>
      <c r="AO29" s="36" t="s">
        <v>128</v>
      </c>
      <c r="AP29" s="36" t="s">
        <v>133</v>
      </c>
      <c r="AQ29" s="27" t="s">
        <v>143</v>
      </c>
      <c r="AS29" s="35">
        <f>AM29+AN29</f>
        <v>0</v>
      </c>
      <c r="AT29" s="35">
        <f>G29/(100-AU29)*100</f>
        <v>0</v>
      </c>
      <c r="AU29" s="35">
        <v>0</v>
      </c>
      <c r="AV29" s="35">
        <f>L29</f>
        <v>0</v>
      </c>
    </row>
    <row r="30" spans="3:13" ht="12.75">
      <c r="C30" s="15" t="s">
        <v>34</v>
      </c>
      <c r="D30" s="72" t="s">
        <v>80</v>
      </c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2.75">
      <c r="A31" s="6"/>
      <c r="B31" s="14" t="s">
        <v>37</v>
      </c>
      <c r="C31" s="14"/>
      <c r="D31" s="78" t="s">
        <v>81</v>
      </c>
      <c r="E31" s="79"/>
      <c r="F31" s="79"/>
      <c r="G31" s="79"/>
      <c r="H31" s="39">
        <f>H32+H34+H36+H38+H42+H44</f>
        <v>0</v>
      </c>
      <c r="I31" s="39">
        <f>I32+I34+I36+I38+I42+I44</f>
        <v>0</v>
      </c>
      <c r="J31" s="39">
        <f>H31+I31</f>
        <v>0</v>
      </c>
      <c r="K31" s="28"/>
      <c r="L31" s="39">
        <f>L32+L34+L36+L38+L42+L44</f>
        <v>104.43075</v>
      </c>
      <c r="M31" s="28"/>
    </row>
    <row r="32" spans="1:37" ht="12.75">
      <c r="A32" s="4"/>
      <c r="B32" s="13" t="s">
        <v>37</v>
      </c>
      <c r="C32" s="13" t="s">
        <v>17</v>
      </c>
      <c r="D32" s="74" t="s">
        <v>64</v>
      </c>
      <c r="E32" s="75"/>
      <c r="F32" s="75"/>
      <c r="G32" s="75"/>
      <c r="H32" s="38">
        <f>SUM(H33:H33)</f>
        <v>0</v>
      </c>
      <c r="I32" s="38">
        <f>SUM(I33:I33)</f>
        <v>0</v>
      </c>
      <c r="J32" s="38">
        <f>H32+I32</f>
        <v>0</v>
      </c>
      <c r="K32" s="27"/>
      <c r="L32" s="38">
        <f>SUM(L33:L33)</f>
        <v>41.25</v>
      </c>
      <c r="M32" s="27"/>
      <c r="Y32" s="27" t="s">
        <v>37</v>
      </c>
      <c r="AI32" s="38">
        <f>SUM(Z33:Z33)</f>
        <v>0</v>
      </c>
      <c r="AJ32" s="38">
        <f>SUM(AA33:AA33)</f>
        <v>0</v>
      </c>
      <c r="AK32" s="38">
        <f>SUM(AB33:AB33)</f>
        <v>0</v>
      </c>
    </row>
    <row r="33" spans="1:48" ht="12.75">
      <c r="A33" s="5" t="s">
        <v>17</v>
      </c>
      <c r="B33" s="5" t="s">
        <v>37</v>
      </c>
      <c r="C33" s="5" t="s">
        <v>55</v>
      </c>
      <c r="D33" s="5" t="s">
        <v>82</v>
      </c>
      <c r="E33" s="5" t="s">
        <v>93</v>
      </c>
      <c r="F33" s="19">
        <v>375</v>
      </c>
      <c r="G33" s="19">
        <v>0</v>
      </c>
      <c r="H33" s="19">
        <f>F33*AE33</f>
        <v>0</v>
      </c>
      <c r="I33" s="19">
        <f>J33-H33</f>
        <v>0</v>
      </c>
      <c r="J33" s="19">
        <f>F33*G33</f>
        <v>0</v>
      </c>
      <c r="K33" s="19">
        <v>0.11</v>
      </c>
      <c r="L33" s="19">
        <f>F33*K33</f>
        <v>41.25</v>
      </c>
      <c r="M33" s="31" t="s">
        <v>113</v>
      </c>
      <c r="P33" s="35">
        <f>IF(AG33="5",J33,0)</f>
        <v>0</v>
      </c>
      <c r="R33" s="35">
        <f>IF(AG33="1",H33,0)</f>
        <v>0</v>
      </c>
      <c r="S33" s="35">
        <f>IF(AG33="1",I33,0)</f>
        <v>0</v>
      </c>
      <c r="T33" s="35">
        <f>IF(AG33="7",H33,0)</f>
        <v>0</v>
      </c>
      <c r="U33" s="35">
        <f>IF(AG33="7",I33,0)</f>
        <v>0</v>
      </c>
      <c r="V33" s="35">
        <f>IF(AG33="2",H33,0)</f>
        <v>0</v>
      </c>
      <c r="W33" s="35">
        <f>IF(AG33="2",I33,0)</f>
        <v>0</v>
      </c>
      <c r="X33" s="35">
        <f>IF(AG33="0",J33,0)</f>
        <v>0</v>
      </c>
      <c r="Y33" s="27" t="s">
        <v>37</v>
      </c>
      <c r="Z33" s="19">
        <f>IF(AD33=0,J33,0)</f>
        <v>0</v>
      </c>
      <c r="AA33" s="19">
        <f>IF(AD33=15,J33,0)</f>
        <v>0</v>
      </c>
      <c r="AB33" s="19">
        <f>IF(AD33=21,J33,0)</f>
        <v>0</v>
      </c>
      <c r="AD33" s="35">
        <v>21</v>
      </c>
      <c r="AE33" s="35">
        <f>G33*0</f>
        <v>0</v>
      </c>
      <c r="AF33" s="35">
        <f>G33*(1-0)</f>
        <v>0</v>
      </c>
      <c r="AG33" s="31" t="s">
        <v>7</v>
      </c>
      <c r="AM33" s="35">
        <f>F33*AE33</f>
        <v>0</v>
      </c>
      <c r="AN33" s="35">
        <f>F33*AF33</f>
        <v>0</v>
      </c>
      <c r="AO33" s="36" t="s">
        <v>123</v>
      </c>
      <c r="AP33" s="36" t="s">
        <v>134</v>
      </c>
      <c r="AQ33" s="27" t="s">
        <v>144</v>
      </c>
      <c r="AS33" s="35">
        <f>AM33+AN33</f>
        <v>0</v>
      </c>
      <c r="AT33" s="35">
        <f>G33/(100-AU33)*100</f>
        <v>0</v>
      </c>
      <c r="AU33" s="35">
        <v>0</v>
      </c>
      <c r="AV33" s="35">
        <f>L33</f>
        <v>41.25</v>
      </c>
    </row>
    <row r="34" spans="1:37" ht="12.75">
      <c r="A34" s="4"/>
      <c r="B34" s="13" t="s">
        <v>37</v>
      </c>
      <c r="C34" s="13" t="s">
        <v>42</v>
      </c>
      <c r="D34" s="74" t="s">
        <v>66</v>
      </c>
      <c r="E34" s="75"/>
      <c r="F34" s="75"/>
      <c r="G34" s="75"/>
      <c r="H34" s="38">
        <f>SUM(H35:H35)</f>
        <v>0</v>
      </c>
      <c r="I34" s="38">
        <f>SUM(I35:I35)</f>
        <v>0</v>
      </c>
      <c r="J34" s="38">
        <f>H34+I34</f>
        <v>0</v>
      </c>
      <c r="K34" s="27"/>
      <c r="L34" s="38">
        <f>SUM(L35:L35)</f>
        <v>0.0075</v>
      </c>
      <c r="M34" s="27"/>
      <c r="Y34" s="27" t="s">
        <v>37</v>
      </c>
      <c r="AI34" s="38">
        <f>SUM(Z35:Z35)</f>
        <v>0</v>
      </c>
      <c r="AJ34" s="38">
        <f>SUM(AA35:AA35)</f>
        <v>0</v>
      </c>
      <c r="AK34" s="38">
        <f>SUM(AB35:AB35)</f>
        <v>0</v>
      </c>
    </row>
    <row r="35" spans="1:48" ht="12.75">
      <c r="A35" s="5" t="s">
        <v>18</v>
      </c>
      <c r="B35" s="5" t="s">
        <v>37</v>
      </c>
      <c r="C35" s="5" t="s">
        <v>43</v>
      </c>
      <c r="D35" s="5" t="s">
        <v>67</v>
      </c>
      <c r="E35" s="5" t="s">
        <v>94</v>
      </c>
      <c r="F35" s="19">
        <v>15</v>
      </c>
      <c r="G35" s="19">
        <v>0</v>
      </c>
      <c r="H35" s="19">
        <f>F35*AE35</f>
        <v>0</v>
      </c>
      <c r="I35" s="19">
        <f>J35-H35</f>
        <v>0</v>
      </c>
      <c r="J35" s="19">
        <f>F35*G35</f>
        <v>0</v>
      </c>
      <c r="K35" s="19">
        <v>0.0005</v>
      </c>
      <c r="L35" s="19">
        <f>F35*K35</f>
        <v>0.0075</v>
      </c>
      <c r="M35" s="31" t="s">
        <v>113</v>
      </c>
      <c r="P35" s="35">
        <f>IF(AG35="5",J35,0)</f>
        <v>0</v>
      </c>
      <c r="R35" s="35">
        <f>IF(AG35="1",H35,0)</f>
        <v>0</v>
      </c>
      <c r="S35" s="35">
        <f>IF(AG35="1",I35,0)</f>
        <v>0</v>
      </c>
      <c r="T35" s="35">
        <f>IF(AG35="7",H35,0)</f>
        <v>0</v>
      </c>
      <c r="U35" s="35">
        <f>IF(AG35="7",I35,0)</f>
        <v>0</v>
      </c>
      <c r="V35" s="35">
        <f>IF(AG35="2",H35,0)</f>
        <v>0</v>
      </c>
      <c r="W35" s="35">
        <f>IF(AG35="2",I35,0)</f>
        <v>0</v>
      </c>
      <c r="X35" s="35">
        <f>IF(AG35="0",J35,0)</f>
        <v>0</v>
      </c>
      <c r="Y35" s="27" t="s">
        <v>37</v>
      </c>
      <c r="Z35" s="19">
        <f>IF(AD35=0,J35,0)</f>
        <v>0</v>
      </c>
      <c r="AA35" s="19">
        <f>IF(AD35=15,J35,0)</f>
        <v>0</v>
      </c>
      <c r="AB35" s="19">
        <f>IF(AD35=21,J35,0)</f>
        <v>0</v>
      </c>
      <c r="AD35" s="35">
        <v>21</v>
      </c>
      <c r="AE35" s="35">
        <f>G35*0.475980392156863</f>
        <v>0</v>
      </c>
      <c r="AF35" s="35">
        <f>G35*(1-0.475980392156863)</f>
        <v>0</v>
      </c>
      <c r="AG35" s="31" t="s">
        <v>7</v>
      </c>
      <c r="AM35" s="35">
        <f>F35*AE35</f>
        <v>0</v>
      </c>
      <c r="AN35" s="35">
        <f>F35*AF35</f>
        <v>0</v>
      </c>
      <c r="AO35" s="36" t="s">
        <v>124</v>
      </c>
      <c r="AP35" s="36" t="s">
        <v>135</v>
      </c>
      <c r="AQ35" s="27" t="s">
        <v>144</v>
      </c>
      <c r="AS35" s="35">
        <f>AM35+AN35</f>
        <v>0</v>
      </c>
      <c r="AT35" s="35">
        <f>G35/(100-AU35)*100</f>
        <v>0</v>
      </c>
      <c r="AU35" s="35">
        <v>0</v>
      </c>
      <c r="AV35" s="35">
        <f>L35</f>
        <v>0.0075</v>
      </c>
    </row>
    <row r="36" spans="1:37" ht="12.75">
      <c r="A36" s="4"/>
      <c r="B36" s="13" t="s">
        <v>37</v>
      </c>
      <c r="C36" s="13" t="s">
        <v>44</v>
      </c>
      <c r="D36" s="74" t="s">
        <v>68</v>
      </c>
      <c r="E36" s="75"/>
      <c r="F36" s="75"/>
      <c r="G36" s="75"/>
      <c r="H36" s="38">
        <f>SUM(H37:H37)</f>
        <v>0</v>
      </c>
      <c r="I36" s="38">
        <f>SUM(I37:I37)</f>
        <v>0</v>
      </c>
      <c r="J36" s="38">
        <f>H36+I36</f>
        <v>0</v>
      </c>
      <c r="K36" s="27"/>
      <c r="L36" s="38">
        <f>SUM(L37:L37)</f>
        <v>14.322000000000001</v>
      </c>
      <c r="M36" s="27"/>
      <c r="Y36" s="27" t="s">
        <v>37</v>
      </c>
      <c r="AI36" s="38">
        <f>SUM(Z37:Z37)</f>
        <v>0</v>
      </c>
      <c r="AJ36" s="38">
        <f>SUM(AA37:AA37)</f>
        <v>0</v>
      </c>
      <c r="AK36" s="38">
        <f>SUM(AB37:AB37)</f>
        <v>0</v>
      </c>
    </row>
    <row r="37" spans="1:48" ht="12.75">
      <c r="A37" s="5" t="s">
        <v>19</v>
      </c>
      <c r="B37" s="5" t="s">
        <v>37</v>
      </c>
      <c r="C37" s="5" t="s">
        <v>45</v>
      </c>
      <c r="D37" s="5" t="s">
        <v>69</v>
      </c>
      <c r="E37" s="5" t="s">
        <v>93</v>
      </c>
      <c r="F37" s="19">
        <v>140</v>
      </c>
      <c r="G37" s="19">
        <v>0</v>
      </c>
      <c r="H37" s="19">
        <f>F37*AE37</f>
        <v>0</v>
      </c>
      <c r="I37" s="19">
        <f>J37-H37</f>
        <v>0</v>
      </c>
      <c r="J37" s="19">
        <f>F37*G37</f>
        <v>0</v>
      </c>
      <c r="K37" s="19">
        <v>0.1023</v>
      </c>
      <c r="L37" s="19">
        <f>F37*K37</f>
        <v>14.322000000000001</v>
      </c>
      <c r="M37" s="31" t="s">
        <v>113</v>
      </c>
      <c r="P37" s="35">
        <f>IF(AG37="5",J37,0)</f>
        <v>0</v>
      </c>
      <c r="R37" s="35">
        <f>IF(AG37="1",H37,0)</f>
        <v>0</v>
      </c>
      <c r="S37" s="35">
        <f>IF(AG37="1",I37,0)</f>
        <v>0</v>
      </c>
      <c r="T37" s="35">
        <f>IF(AG37="7",H37,0)</f>
        <v>0</v>
      </c>
      <c r="U37" s="35">
        <f>IF(AG37="7",I37,0)</f>
        <v>0</v>
      </c>
      <c r="V37" s="35">
        <f>IF(AG37="2",H37,0)</f>
        <v>0</v>
      </c>
      <c r="W37" s="35">
        <f>IF(AG37="2",I37,0)</f>
        <v>0</v>
      </c>
      <c r="X37" s="35">
        <f>IF(AG37="0",J37,0)</f>
        <v>0</v>
      </c>
      <c r="Y37" s="27" t="s">
        <v>37</v>
      </c>
      <c r="Z37" s="19">
        <f>IF(AD37=0,J37,0)</f>
        <v>0</v>
      </c>
      <c r="AA37" s="19">
        <f>IF(AD37=15,J37,0)</f>
        <v>0</v>
      </c>
      <c r="AB37" s="19">
        <f>IF(AD37=21,J37,0)</f>
        <v>0</v>
      </c>
      <c r="AD37" s="35">
        <v>21</v>
      </c>
      <c r="AE37" s="35">
        <f>G37*0.626237102547905</f>
        <v>0</v>
      </c>
      <c r="AF37" s="35">
        <f>G37*(1-0.626237102547905)</f>
        <v>0</v>
      </c>
      <c r="AG37" s="31" t="s">
        <v>7</v>
      </c>
      <c r="AM37" s="35">
        <f>F37*AE37</f>
        <v>0</v>
      </c>
      <c r="AN37" s="35">
        <f>F37*AF37</f>
        <v>0</v>
      </c>
      <c r="AO37" s="36" t="s">
        <v>125</v>
      </c>
      <c r="AP37" s="36" t="s">
        <v>136</v>
      </c>
      <c r="AQ37" s="27" t="s">
        <v>144</v>
      </c>
      <c r="AS37" s="35">
        <f>AM37+AN37</f>
        <v>0</v>
      </c>
      <c r="AT37" s="35">
        <f>G37/(100-AU37)*100</f>
        <v>0</v>
      </c>
      <c r="AU37" s="35">
        <v>0</v>
      </c>
      <c r="AV37" s="35">
        <f>L37</f>
        <v>14.322000000000001</v>
      </c>
    </row>
    <row r="38" spans="1:37" ht="12.75">
      <c r="A38" s="4"/>
      <c r="B38" s="13" t="s">
        <v>37</v>
      </c>
      <c r="C38" s="13" t="s">
        <v>46</v>
      </c>
      <c r="D38" s="74" t="s">
        <v>70</v>
      </c>
      <c r="E38" s="75"/>
      <c r="F38" s="75"/>
      <c r="G38" s="75"/>
      <c r="H38" s="38">
        <f>SUM(H39:H41)</f>
        <v>0</v>
      </c>
      <c r="I38" s="38">
        <f>SUM(I39:I41)</f>
        <v>0</v>
      </c>
      <c r="J38" s="38">
        <f>H38+I38</f>
        <v>0</v>
      </c>
      <c r="K38" s="27"/>
      <c r="L38" s="38">
        <f>SUM(L39:L41)</f>
        <v>48.85125</v>
      </c>
      <c r="M38" s="27"/>
      <c r="Y38" s="27" t="s">
        <v>37</v>
      </c>
      <c r="AI38" s="38">
        <f>SUM(Z39:Z41)</f>
        <v>0</v>
      </c>
      <c r="AJ38" s="38">
        <f>SUM(AA39:AA41)</f>
        <v>0</v>
      </c>
      <c r="AK38" s="38">
        <f>SUM(AB39:AB41)</f>
        <v>0</v>
      </c>
    </row>
    <row r="39" spans="1:48" ht="12.75">
      <c r="A39" s="5" t="s">
        <v>20</v>
      </c>
      <c r="B39" s="5" t="s">
        <v>37</v>
      </c>
      <c r="C39" s="5" t="s">
        <v>47</v>
      </c>
      <c r="D39" s="5" t="s">
        <v>71</v>
      </c>
      <c r="E39" s="5" t="s">
        <v>93</v>
      </c>
      <c r="F39" s="19">
        <v>375</v>
      </c>
      <c r="G39" s="19">
        <v>0</v>
      </c>
      <c r="H39" s="19">
        <f>F39*AE39</f>
        <v>0</v>
      </c>
      <c r="I39" s="19">
        <f>J39-H39</f>
        <v>0</v>
      </c>
      <c r="J39" s="19">
        <f>F39*G39</f>
        <v>0</v>
      </c>
      <c r="K39" s="19">
        <v>0.00061</v>
      </c>
      <c r="L39" s="19">
        <f>F39*K39</f>
        <v>0.22874999999999998</v>
      </c>
      <c r="M39" s="31" t="s">
        <v>113</v>
      </c>
      <c r="P39" s="35">
        <f>IF(AG39="5",J39,0)</f>
        <v>0</v>
      </c>
      <c r="R39" s="35">
        <f>IF(AG39="1",H39,0)</f>
        <v>0</v>
      </c>
      <c r="S39" s="35">
        <f>IF(AG39="1",I39,0)</f>
        <v>0</v>
      </c>
      <c r="T39" s="35">
        <f>IF(AG39="7",H39,0)</f>
        <v>0</v>
      </c>
      <c r="U39" s="35">
        <f>IF(AG39="7",I39,0)</f>
        <v>0</v>
      </c>
      <c r="V39" s="35">
        <f>IF(AG39="2",H39,0)</f>
        <v>0</v>
      </c>
      <c r="W39" s="35">
        <f>IF(AG39="2",I39,0)</f>
        <v>0</v>
      </c>
      <c r="X39" s="35">
        <f>IF(AG39="0",J39,0)</f>
        <v>0</v>
      </c>
      <c r="Y39" s="27" t="s">
        <v>37</v>
      </c>
      <c r="Z39" s="19">
        <f>IF(AD39=0,J39,0)</f>
        <v>0</v>
      </c>
      <c r="AA39" s="19">
        <f>IF(AD39=15,J39,0)</f>
        <v>0</v>
      </c>
      <c r="AB39" s="19">
        <f>IF(AD39=21,J39,0)</f>
        <v>0</v>
      </c>
      <c r="AD39" s="35">
        <v>21</v>
      </c>
      <c r="AE39" s="35">
        <f>G39*0.932857142857143</f>
        <v>0</v>
      </c>
      <c r="AF39" s="35">
        <f>G39*(1-0.932857142857143)</f>
        <v>0</v>
      </c>
      <c r="AG39" s="31" t="s">
        <v>7</v>
      </c>
      <c r="AM39" s="35">
        <f>F39*AE39</f>
        <v>0</v>
      </c>
      <c r="AN39" s="35">
        <f>F39*AF39</f>
        <v>0</v>
      </c>
      <c r="AO39" s="36" t="s">
        <v>126</v>
      </c>
      <c r="AP39" s="36" t="s">
        <v>136</v>
      </c>
      <c r="AQ39" s="27" t="s">
        <v>144</v>
      </c>
      <c r="AS39" s="35">
        <f>AM39+AN39</f>
        <v>0</v>
      </c>
      <c r="AT39" s="35">
        <f>G39/(100-AU39)*100</f>
        <v>0</v>
      </c>
      <c r="AU39" s="35">
        <v>0</v>
      </c>
      <c r="AV39" s="35">
        <f>L39</f>
        <v>0.22874999999999998</v>
      </c>
    </row>
    <row r="40" spans="3:13" ht="12.75">
      <c r="C40" s="15" t="s">
        <v>34</v>
      </c>
      <c r="D40" s="72" t="s">
        <v>83</v>
      </c>
      <c r="E40" s="73"/>
      <c r="F40" s="73"/>
      <c r="G40" s="73"/>
      <c r="H40" s="73"/>
      <c r="I40" s="73"/>
      <c r="J40" s="73"/>
      <c r="K40" s="73"/>
      <c r="L40" s="73"/>
      <c r="M40" s="73"/>
    </row>
    <row r="41" spans="1:48" ht="12.75">
      <c r="A41" s="5" t="s">
        <v>21</v>
      </c>
      <c r="B41" s="5" t="s">
        <v>37</v>
      </c>
      <c r="C41" s="5" t="s">
        <v>48</v>
      </c>
      <c r="D41" s="5" t="s">
        <v>73</v>
      </c>
      <c r="E41" s="5" t="s">
        <v>93</v>
      </c>
      <c r="F41" s="19">
        <v>375</v>
      </c>
      <c r="G41" s="19">
        <v>0</v>
      </c>
      <c r="H41" s="19">
        <f>F41*AE41</f>
        <v>0</v>
      </c>
      <c r="I41" s="19">
        <f>J41-H41</f>
        <v>0</v>
      </c>
      <c r="J41" s="19">
        <f>F41*G41</f>
        <v>0</v>
      </c>
      <c r="K41" s="19">
        <v>0.12966</v>
      </c>
      <c r="L41" s="19">
        <f>F41*K41</f>
        <v>48.6225</v>
      </c>
      <c r="M41" s="31" t="s">
        <v>113</v>
      </c>
      <c r="P41" s="35">
        <f>IF(AG41="5",J41,0)</f>
        <v>0</v>
      </c>
      <c r="R41" s="35">
        <f>IF(AG41="1",H41,0)</f>
        <v>0</v>
      </c>
      <c r="S41" s="35">
        <f>IF(AG41="1",I41,0)</f>
        <v>0</v>
      </c>
      <c r="T41" s="35">
        <f>IF(AG41="7",H41,0)</f>
        <v>0</v>
      </c>
      <c r="U41" s="35">
        <f>IF(AG41="7",I41,0)</f>
        <v>0</v>
      </c>
      <c r="V41" s="35">
        <f>IF(AG41="2",H41,0)</f>
        <v>0</v>
      </c>
      <c r="W41" s="35">
        <f>IF(AG41="2",I41,0)</f>
        <v>0</v>
      </c>
      <c r="X41" s="35">
        <f>IF(AG41="0",J41,0)</f>
        <v>0</v>
      </c>
      <c r="Y41" s="27" t="s">
        <v>37</v>
      </c>
      <c r="Z41" s="19">
        <f>IF(AD41=0,J41,0)</f>
        <v>0</v>
      </c>
      <c r="AA41" s="19">
        <f>IF(AD41=15,J41,0)</f>
        <v>0</v>
      </c>
      <c r="AB41" s="19">
        <f>IF(AD41=21,J41,0)</f>
        <v>0</v>
      </c>
      <c r="AD41" s="35">
        <v>21</v>
      </c>
      <c r="AE41" s="35">
        <f>G41*0.624036076662909</f>
        <v>0</v>
      </c>
      <c r="AF41" s="35">
        <f>G41*(1-0.624036076662909)</f>
        <v>0</v>
      </c>
      <c r="AG41" s="31" t="s">
        <v>7</v>
      </c>
      <c r="AM41" s="35">
        <f>F41*AE41</f>
        <v>0</v>
      </c>
      <c r="AN41" s="35">
        <f>F41*AF41</f>
        <v>0</v>
      </c>
      <c r="AO41" s="36" t="s">
        <v>126</v>
      </c>
      <c r="AP41" s="36" t="s">
        <v>136</v>
      </c>
      <c r="AQ41" s="27" t="s">
        <v>144</v>
      </c>
      <c r="AS41" s="35">
        <f>AM41+AN41</f>
        <v>0</v>
      </c>
      <c r="AT41" s="35">
        <f>G41/(100-AU41)*100</f>
        <v>0</v>
      </c>
      <c r="AU41" s="35">
        <v>0</v>
      </c>
      <c r="AV41" s="35">
        <f>L41</f>
        <v>48.6225</v>
      </c>
    </row>
    <row r="42" spans="1:37" ht="12.75">
      <c r="A42" s="4"/>
      <c r="B42" s="13" t="s">
        <v>37</v>
      </c>
      <c r="C42" s="13" t="s">
        <v>50</v>
      </c>
      <c r="D42" s="74" t="s">
        <v>75</v>
      </c>
      <c r="E42" s="75"/>
      <c r="F42" s="75"/>
      <c r="G42" s="75"/>
      <c r="H42" s="38">
        <f>SUM(H43:H43)</f>
        <v>0</v>
      </c>
      <c r="I42" s="38">
        <f>SUM(I43:I43)</f>
        <v>0</v>
      </c>
      <c r="J42" s="38">
        <f>H42+I42</f>
        <v>0</v>
      </c>
      <c r="K42" s="27"/>
      <c r="L42" s="38">
        <f>SUM(L43:L43)</f>
        <v>0</v>
      </c>
      <c r="M42" s="27"/>
      <c r="Y42" s="27" t="s">
        <v>37</v>
      </c>
      <c r="AI42" s="38">
        <f>SUM(Z43:Z43)</f>
        <v>0</v>
      </c>
      <c r="AJ42" s="38">
        <f>SUM(AA43:AA43)</f>
        <v>0</v>
      </c>
      <c r="AK42" s="38">
        <f>SUM(AB43:AB43)</f>
        <v>0</v>
      </c>
    </row>
    <row r="43" spans="1:48" ht="12.75">
      <c r="A43" s="5" t="s">
        <v>22</v>
      </c>
      <c r="B43" s="5" t="s">
        <v>37</v>
      </c>
      <c r="C43" s="5" t="s">
        <v>51</v>
      </c>
      <c r="D43" s="5" t="s">
        <v>76</v>
      </c>
      <c r="E43" s="5" t="s">
        <v>95</v>
      </c>
      <c r="F43" s="19">
        <v>55.8593</v>
      </c>
      <c r="G43" s="19">
        <v>0</v>
      </c>
      <c r="H43" s="19">
        <f>F43*AE43</f>
        <v>0</v>
      </c>
      <c r="I43" s="19">
        <f>J43-H43</f>
        <v>0</v>
      </c>
      <c r="J43" s="19">
        <f>F43*G43</f>
        <v>0</v>
      </c>
      <c r="K43" s="19">
        <v>0</v>
      </c>
      <c r="L43" s="19">
        <f>F43*K43</f>
        <v>0</v>
      </c>
      <c r="M43" s="31" t="s">
        <v>113</v>
      </c>
      <c r="P43" s="35">
        <f>IF(AG43="5",J43,0)</f>
        <v>0</v>
      </c>
      <c r="R43" s="35">
        <f>IF(AG43="1",H43,0)</f>
        <v>0</v>
      </c>
      <c r="S43" s="35">
        <f>IF(AG43="1",I43,0)</f>
        <v>0</v>
      </c>
      <c r="T43" s="35">
        <f>IF(AG43="7",H43,0)</f>
        <v>0</v>
      </c>
      <c r="U43" s="35">
        <f>IF(AG43="7",I43,0)</f>
        <v>0</v>
      </c>
      <c r="V43" s="35">
        <f>IF(AG43="2",H43,0)</f>
        <v>0</v>
      </c>
      <c r="W43" s="35">
        <f>IF(AG43="2",I43,0)</f>
        <v>0</v>
      </c>
      <c r="X43" s="35">
        <f>IF(AG43="0",J43,0)</f>
        <v>0</v>
      </c>
      <c r="Y43" s="27" t="s">
        <v>37</v>
      </c>
      <c r="Z43" s="19">
        <f>IF(AD43=0,J43,0)</f>
        <v>0</v>
      </c>
      <c r="AA43" s="19">
        <f>IF(AD43=15,J43,0)</f>
        <v>0</v>
      </c>
      <c r="AB43" s="19">
        <f>IF(AD43=21,J43,0)</f>
        <v>0</v>
      </c>
      <c r="AD43" s="35">
        <v>21</v>
      </c>
      <c r="AE43" s="35">
        <f>G43*0</f>
        <v>0</v>
      </c>
      <c r="AF43" s="35">
        <f>G43*(1-0)</f>
        <v>0</v>
      </c>
      <c r="AG43" s="31" t="s">
        <v>11</v>
      </c>
      <c r="AM43" s="35">
        <f>F43*AE43</f>
        <v>0</v>
      </c>
      <c r="AN43" s="35">
        <f>F43*AF43</f>
        <v>0</v>
      </c>
      <c r="AO43" s="36" t="s">
        <v>127</v>
      </c>
      <c r="AP43" s="36" t="s">
        <v>137</v>
      </c>
      <c r="AQ43" s="27" t="s">
        <v>144</v>
      </c>
      <c r="AS43" s="35">
        <f>AM43+AN43</f>
        <v>0</v>
      </c>
      <c r="AT43" s="35">
        <f>G43/(100-AU43)*100</f>
        <v>0</v>
      </c>
      <c r="AU43" s="35">
        <v>0</v>
      </c>
      <c r="AV43" s="35">
        <f>L43</f>
        <v>0</v>
      </c>
    </row>
    <row r="44" spans="1:37" ht="12.75">
      <c r="A44" s="4"/>
      <c r="B44" s="13" t="s">
        <v>37</v>
      </c>
      <c r="C44" s="13" t="s">
        <v>52</v>
      </c>
      <c r="D44" s="74" t="s">
        <v>77</v>
      </c>
      <c r="E44" s="75"/>
      <c r="F44" s="75"/>
      <c r="G44" s="75"/>
      <c r="H44" s="38">
        <f>SUM(H45:H46)</f>
        <v>0</v>
      </c>
      <c r="I44" s="38">
        <f>SUM(I45:I46)</f>
        <v>0</v>
      </c>
      <c r="J44" s="38">
        <f>H44+I44</f>
        <v>0</v>
      </c>
      <c r="K44" s="27"/>
      <c r="L44" s="38">
        <f>SUM(L45:L46)</f>
        <v>0</v>
      </c>
      <c r="M44" s="27"/>
      <c r="Y44" s="27" t="s">
        <v>37</v>
      </c>
      <c r="AI44" s="38">
        <f>SUM(Z45:Z46)</f>
        <v>0</v>
      </c>
      <c r="AJ44" s="38">
        <f>SUM(AA45:AA46)</f>
        <v>0</v>
      </c>
      <c r="AK44" s="38">
        <f>SUM(AB45:AB46)</f>
        <v>0</v>
      </c>
    </row>
    <row r="45" spans="1:48" ht="12.75">
      <c r="A45" s="5" t="s">
        <v>23</v>
      </c>
      <c r="B45" s="5" t="s">
        <v>37</v>
      </c>
      <c r="C45" s="5" t="s">
        <v>53</v>
      </c>
      <c r="D45" s="5" t="s">
        <v>78</v>
      </c>
      <c r="E45" s="5" t="s">
        <v>95</v>
      </c>
      <c r="F45" s="19">
        <v>34.25</v>
      </c>
      <c r="G45" s="19">
        <v>0</v>
      </c>
      <c r="H45" s="19">
        <f>F45*AE45</f>
        <v>0</v>
      </c>
      <c r="I45" s="19">
        <f>J45-H45</f>
        <v>0</v>
      </c>
      <c r="J45" s="19">
        <f>F45*G45</f>
        <v>0</v>
      </c>
      <c r="K45" s="19">
        <v>0</v>
      </c>
      <c r="L45" s="19">
        <f>F45*K45</f>
        <v>0</v>
      </c>
      <c r="M45" s="31" t="s">
        <v>113</v>
      </c>
      <c r="P45" s="35">
        <f>IF(AG45="5",J45,0)</f>
        <v>0</v>
      </c>
      <c r="R45" s="35">
        <f>IF(AG45="1",H45,0)</f>
        <v>0</v>
      </c>
      <c r="S45" s="35">
        <f>IF(AG45="1",I45,0)</f>
        <v>0</v>
      </c>
      <c r="T45" s="35">
        <f>IF(AG45="7",H45,0)</f>
        <v>0</v>
      </c>
      <c r="U45" s="35">
        <f>IF(AG45="7",I45,0)</f>
        <v>0</v>
      </c>
      <c r="V45" s="35">
        <f>IF(AG45="2",H45,0)</f>
        <v>0</v>
      </c>
      <c r="W45" s="35">
        <f>IF(AG45="2",I45,0)</f>
        <v>0</v>
      </c>
      <c r="X45" s="35">
        <f>IF(AG45="0",J45,0)</f>
        <v>0</v>
      </c>
      <c r="Y45" s="27" t="s">
        <v>37</v>
      </c>
      <c r="Z45" s="19">
        <f>IF(AD45=0,J45,0)</f>
        <v>0</v>
      </c>
      <c r="AA45" s="19">
        <f>IF(AD45=15,J45,0)</f>
        <v>0</v>
      </c>
      <c r="AB45" s="19">
        <f>IF(AD45=21,J45,0)</f>
        <v>0</v>
      </c>
      <c r="AD45" s="35">
        <v>21</v>
      </c>
      <c r="AE45" s="35">
        <f>G45*0</f>
        <v>0</v>
      </c>
      <c r="AF45" s="35">
        <f>G45*(1-0)</f>
        <v>0</v>
      </c>
      <c r="AG45" s="31" t="s">
        <v>11</v>
      </c>
      <c r="AM45" s="35">
        <f>F45*AE45</f>
        <v>0</v>
      </c>
      <c r="AN45" s="35">
        <f>F45*AF45</f>
        <v>0</v>
      </c>
      <c r="AO45" s="36" t="s">
        <v>128</v>
      </c>
      <c r="AP45" s="36" t="s">
        <v>137</v>
      </c>
      <c r="AQ45" s="27" t="s">
        <v>144</v>
      </c>
      <c r="AS45" s="35">
        <f>AM45+AN45</f>
        <v>0</v>
      </c>
      <c r="AT45" s="35">
        <f>G45/(100-AU45)*100</f>
        <v>0</v>
      </c>
      <c r="AU45" s="35">
        <v>0</v>
      </c>
      <c r="AV45" s="35">
        <f>L45</f>
        <v>0</v>
      </c>
    </row>
    <row r="46" spans="1:48" ht="12.75">
      <c r="A46" s="5" t="s">
        <v>24</v>
      </c>
      <c r="B46" s="5" t="s">
        <v>37</v>
      </c>
      <c r="C46" s="5" t="s">
        <v>54</v>
      </c>
      <c r="D46" s="5" t="s">
        <v>79</v>
      </c>
      <c r="E46" s="5" t="s">
        <v>95</v>
      </c>
      <c r="F46" s="19">
        <v>34.25</v>
      </c>
      <c r="G46" s="19">
        <v>0</v>
      </c>
      <c r="H46" s="19">
        <f>F46*AE46</f>
        <v>0</v>
      </c>
      <c r="I46" s="19">
        <f>J46-H46</f>
        <v>0</v>
      </c>
      <c r="J46" s="19">
        <f>F46*G46</f>
        <v>0</v>
      </c>
      <c r="K46" s="19">
        <v>0</v>
      </c>
      <c r="L46" s="19">
        <f>F46*K46</f>
        <v>0</v>
      </c>
      <c r="M46" s="31" t="s">
        <v>113</v>
      </c>
      <c r="P46" s="35">
        <f>IF(AG46="5",J46,0)</f>
        <v>0</v>
      </c>
      <c r="R46" s="35">
        <f>IF(AG46="1",H46,0)</f>
        <v>0</v>
      </c>
      <c r="S46" s="35">
        <f>IF(AG46="1",I46,0)</f>
        <v>0</v>
      </c>
      <c r="T46" s="35">
        <f>IF(AG46="7",H46,0)</f>
        <v>0</v>
      </c>
      <c r="U46" s="35">
        <f>IF(AG46="7",I46,0)</f>
        <v>0</v>
      </c>
      <c r="V46" s="35">
        <f>IF(AG46="2",H46,0)</f>
        <v>0</v>
      </c>
      <c r="W46" s="35">
        <f>IF(AG46="2",I46,0)</f>
        <v>0</v>
      </c>
      <c r="X46" s="35">
        <f>IF(AG46="0",J46,0)</f>
        <v>0</v>
      </c>
      <c r="Y46" s="27" t="s">
        <v>37</v>
      </c>
      <c r="Z46" s="19">
        <f>IF(AD46=0,J46,0)</f>
        <v>0</v>
      </c>
      <c r="AA46" s="19">
        <f>IF(AD46=15,J46,0)</f>
        <v>0</v>
      </c>
      <c r="AB46" s="19">
        <f>IF(AD46=21,J46,0)</f>
        <v>0</v>
      </c>
      <c r="AD46" s="35">
        <v>21</v>
      </c>
      <c r="AE46" s="35">
        <f>G46*0</f>
        <v>0</v>
      </c>
      <c r="AF46" s="35">
        <f>G46*(1-0)</f>
        <v>0</v>
      </c>
      <c r="AG46" s="31" t="s">
        <v>11</v>
      </c>
      <c r="AM46" s="35">
        <f>F46*AE46</f>
        <v>0</v>
      </c>
      <c r="AN46" s="35">
        <f>F46*AF46</f>
        <v>0</v>
      </c>
      <c r="AO46" s="36" t="s">
        <v>128</v>
      </c>
      <c r="AP46" s="36" t="s">
        <v>137</v>
      </c>
      <c r="AQ46" s="27" t="s">
        <v>144</v>
      </c>
      <c r="AS46" s="35">
        <f>AM46+AN46</f>
        <v>0</v>
      </c>
      <c r="AT46" s="35">
        <f>G46/(100-AU46)*100</f>
        <v>0</v>
      </c>
      <c r="AU46" s="35">
        <v>0</v>
      </c>
      <c r="AV46" s="35">
        <f>L46</f>
        <v>0</v>
      </c>
    </row>
    <row r="47" spans="1:13" ht="12.75">
      <c r="A47" s="6"/>
      <c r="B47" s="14" t="s">
        <v>38</v>
      </c>
      <c r="C47" s="14"/>
      <c r="D47" s="78" t="s">
        <v>84</v>
      </c>
      <c r="E47" s="79"/>
      <c r="F47" s="79"/>
      <c r="G47" s="79"/>
      <c r="H47" s="39">
        <f>H48+H50+H52+H54+H58+H61+H63</f>
        <v>0</v>
      </c>
      <c r="I47" s="39">
        <f>I48+I50+I52+I54+I58+I61+I63</f>
        <v>0</v>
      </c>
      <c r="J47" s="39">
        <f>H47+I47</f>
        <v>0</v>
      </c>
      <c r="K47" s="28"/>
      <c r="L47" s="39">
        <f>L48+L50+L52+L54+L58+L61+L63</f>
        <v>218.48556000000002</v>
      </c>
      <c r="M47" s="28"/>
    </row>
    <row r="48" spans="1:37" ht="12.75">
      <c r="A48" s="4"/>
      <c r="B48" s="13" t="s">
        <v>38</v>
      </c>
      <c r="C48" s="13" t="s">
        <v>17</v>
      </c>
      <c r="D48" s="74" t="s">
        <v>64</v>
      </c>
      <c r="E48" s="75"/>
      <c r="F48" s="75"/>
      <c r="G48" s="75"/>
      <c r="H48" s="38">
        <f>SUM(H49:H49)</f>
        <v>0</v>
      </c>
      <c r="I48" s="38">
        <f>SUM(I49:I49)</f>
        <v>0</v>
      </c>
      <c r="J48" s="38">
        <f>H48+I48</f>
        <v>0</v>
      </c>
      <c r="K48" s="27"/>
      <c r="L48" s="38">
        <f>SUM(L49:L49)</f>
        <v>97.9</v>
      </c>
      <c r="M48" s="27"/>
      <c r="Y48" s="27" t="s">
        <v>38</v>
      </c>
      <c r="AI48" s="38">
        <f>SUM(Z49:Z49)</f>
        <v>0</v>
      </c>
      <c r="AJ48" s="38">
        <f>SUM(AA49:AA49)</f>
        <v>0</v>
      </c>
      <c r="AK48" s="38">
        <f>SUM(AB49:AB49)</f>
        <v>0</v>
      </c>
    </row>
    <row r="49" spans="1:48" ht="12.75">
      <c r="A49" s="5" t="s">
        <v>25</v>
      </c>
      <c r="B49" s="5" t="s">
        <v>38</v>
      </c>
      <c r="C49" s="5" t="s">
        <v>55</v>
      </c>
      <c r="D49" s="5" t="s">
        <v>82</v>
      </c>
      <c r="E49" s="5" t="s">
        <v>93</v>
      </c>
      <c r="F49" s="19">
        <v>890</v>
      </c>
      <c r="G49" s="19">
        <v>0</v>
      </c>
      <c r="H49" s="19">
        <f>F49*AE49</f>
        <v>0</v>
      </c>
      <c r="I49" s="19">
        <f>J49-H49</f>
        <v>0</v>
      </c>
      <c r="J49" s="19">
        <f>F49*G49</f>
        <v>0</v>
      </c>
      <c r="K49" s="19">
        <v>0.11</v>
      </c>
      <c r="L49" s="19">
        <f>F49*K49</f>
        <v>97.9</v>
      </c>
      <c r="M49" s="31" t="s">
        <v>113</v>
      </c>
      <c r="P49" s="35">
        <f>IF(AG49="5",J49,0)</f>
        <v>0</v>
      </c>
      <c r="R49" s="35">
        <f>IF(AG49="1",H49,0)</f>
        <v>0</v>
      </c>
      <c r="S49" s="35">
        <f>IF(AG49="1",I49,0)</f>
        <v>0</v>
      </c>
      <c r="T49" s="35">
        <f>IF(AG49="7",H49,0)</f>
        <v>0</v>
      </c>
      <c r="U49" s="35">
        <f>IF(AG49="7",I49,0)</f>
        <v>0</v>
      </c>
      <c r="V49" s="35">
        <f>IF(AG49="2",H49,0)</f>
        <v>0</v>
      </c>
      <c r="W49" s="35">
        <f>IF(AG49="2",I49,0)</f>
        <v>0</v>
      </c>
      <c r="X49" s="35">
        <f>IF(AG49="0",J49,0)</f>
        <v>0</v>
      </c>
      <c r="Y49" s="27" t="s">
        <v>38</v>
      </c>
      <c r="Z49" s="19">
        <f>IF(AD49=0,J49,0)</f>
        <v>0</v>
      </c>
      <c r="AA49" s="19">
        <f>IF(AD49=15,J49,0)</f>
        <v>0</v>
      </c>
      <c r="AB49" s="19">
        <f>IF(AD49=21,J49,0)</f>
        <v>0</v>
      </c>
      <c r="AD49" s="35">
        <v>21</v>
      </c>
      <c r="AE49" s="35">
        <f>G49*0</f>
        <v>0</v>
      </c>
      <c r="AF49" s="35">
        <f>G49*(1-0)</f>
        <v>0</v>
      </c>
      <c r="AG49" s="31" t="s">
        <v>7</v>
      </c>
      <c r="AM49" s="35">
        <f>F49*AE49</f>
        <v>0</v>
      </c>
      <c r="AN49" s="35">
        <f>F49*AF49</f>
        <v>0</v>
      </c>
      <c r="AO49" s="36" t="s">
        <v>123</v>
      </c>
      <c r="AP49" s="36" t="s">
        <v>138</v>
      </c>
      <c r="AQ49" s="27" t="s">
        <v>145</v>
      </c>
      <c r="AS49" s="35">
        <f>AM49+AN49</f>
        <v>0</v>
      </c>
      <c r="AT49" s="35">
        <f>G49/(100-AU49)*100</f>
        <v>0</v>
      </c>
      <c r="AU49" s="35">
        <v>0</v>
      </c>
      <c r="AV49" s="35">
        <f>L49</f>
        <v>97.9</v>
      </c>
    </row>
    <row r="50" spans="1:37" ht="12.75">
      <c r="A50" s="4"/>
      <c r="B50" s="13" t="s">
        <v>38</v>
      </c>
      <c r="C50" s="13" t="s">
        <v>42</v>
      </c>
      <c r="D50" s="74" t="s">
        <v>66</v>
      </c>
      <c r="E50" s="75"/>
      <c r="F50" s="75"/>
      <c r="G50" s="75"/>
      <c r="H50" s="38">
        <f>SUM(H51:H51)</f>
        <v>0</v>
      </c>
      <c r="I50" s="38">
        <f>SUM(I51:I51)</f>
        <v>0</v>
      </c>
      <c r="J50" s="38">
        <f>H50+I50</f>
        <v>0</v>
      </c>
      <c r="K50" s="27"/>
      <c r="L50" s="38">
        <f>SUM(L51:L51)</f>
        <v>0.0175</v>
      </c>
      <c r="M50" s="27"/>
      <c r="Y50" s="27" t="s">
        <v>38</v>
      </c>
      <c r="AI50" s="38">
        <f>SUM(Z51:Z51)</f>
        <v>0</v>
      </c>
      <c r="AJ50" s="38">
        <f>SUM(AA51:AA51)</f>
        <v>0</v>
      </c>
      <c r="AK50" s="38">
        <f>SUM(AB51:AB51)</f>
        <v>0</v>
      </c>
    </row>
    <row r="51" spans="1:48" ht="12.75">
      <c r="A51" s="5" t="s">
        <v>26</v>
      </c>
      <c r="B51" s="5" t="s">
        <v>38</v>
      </c>
      <c r="C51" s="5" t="s">
        <v>43</v>
      </c>
      <c r="D51" s="5" t="s">
        <v>67</v>
      </c>
      <c r="E51" s="5" t="s">
        <v>94</v>
      </c>
      <c r="F51" s="19">
        <v>35</v>
      </c>
      <c r="G51" s="19">
        <v>0</v>
      </c>
      <c r="H51" s="19">
        <f>F51*AE51</f>
        <v>0</v>
      </c>
      <c r="I51" s="19">
        <f>J51-H51</f>
        <v>0</v>
      </c>
      <c r="J51" s="19">
        <f>F51*G51</f>
        <v>0</v>
      </c>
      <c r="K51" s="19">
        <v>0.0005</v>
      </c>
      <c r="L51" s="19">
        <f>F51*K51</f>
        <v>0.0175</v>
      </c>
      <c r="M51" s="31" t="s">
        <v>113</v>
      </c>
      <c r="P51" s="35">
        <f>IF(AG51="5",J51,0)</f>
        <v>0</v>
      </c>
      <c r="R51" s="35">
        <f>IF(AG51="1",H51,0)</f>
        <v>0</v>
      </c>
      <c r="S51" s="35">
        <f>IF(AG51="1",I51,0)</f>
        <v>0</v>
      </c>
      <c r="T51" s="35">
        <f>IF(AG51="7",H51,0)</f>
        <v>0</v>
      </c>
      <c r="U51" s="35">
        <f>IF(AG51="7",I51,0)</f>
        <v>0</v>
      </c>
      <c r="V51" s="35">
        <f>IF(AG51="2",H51,0)</f>
        <v>0</v>
      </c>
      <c r="W51" s="35">
        <f>IF(AG51="2",I51,0)</f>
        <v>0</v>
      </c>
      <c r="X51" s="35">
        <f>IF(AG51="0",J51,0)</f>
        <v>0</v>
      </c>
      <c r="Y51" s="27" t="s">
        <v>38</v>
      </c>
      <c r="Z51" s="19">
        <f>IF(AD51=0,J51,0)</f>
        <v>0</v>
      </c>
      <c r="AA51" s="19">
        <f>IF(AD51=15,J51,0)</f>
        <v>0</v>
      </c>
      <c r="AB51" s="19">
        <f>IF(AD51=21,J51,0)</f>
        <v>0</v>
      </c>
      <c r="AD51" s="35">
        <v>21</v>
      </c>
      <c r="AE51" s="35">
        <f>G51*0.475980392156863</f>
        <v>0</v>
      </c>
      <c r="AF51" s="35">
        <f>G51*(1-0.475980392156863)</f>
        <v>0</v>
      </c>
      <c r="AG51" s="31" t="s">
        <v>7</v>
      </c>
      <c r="AM51" s="35">
        <f>F51*AE51</f>
        <v>0</v>
      </c>
      <c r="AN51" s="35">
        <f>F51*AF51</f>
        <v>0</v>
      </c>
      <c r="AO51" s="36" t="s">
        <v>124</v>
      </c>
      <c r="AP51" s="36" t="s">
        <v>139</v>
      </c>
      <c r="AQ51" s="27" t="s">
        <v>145</v>
      </c>
      <c r="AS51" s="35">
        <f>AM51+AN51</f>
        <v>0</v>
      </c>
      <c r="AT51" s="35">
        <f>G51/(100-AU51)*100</f>
        <v>0</v>
      </c>
      <c r="AU51" s="35">
        <v>0</v>
      </c>
      <c r="AV51" s="35">
        <f>L51</f>
        <v>0.0175</v>
      </c>
    </row>
    <row r="52" spans="1:37" ht="12.75">
      <c r="A52" s="4"/>
      <c r="B52" s="13" t="s">
        <v>38</v>
      </c>
      <c r="C52" s="13" t="s">
        <v>44</v>
      </c>
      <c r="D52" s="74" t="s">
        <v>68</v>
      </c>
      <c r="E52" s="75"/>
      <c r="F52" s="75"/>
      <c r="G52" s="75"/>
      <c r="H52" s="38">
        <f>SUM(H53:H53)</f>
        <v>0</v>
      </c>
      <c r="I52" s="38">
        <f>SUM(I53:I53)</f>
        <v>0</v>
      </c>
      <c r="J52" s="38">
        <f>H52+I52</f>
        <v>0</v>
      </c>
      <c r="K52" s="27"/>
      <c r="L52" s="38">
        <f>SUM(L53:L53)</f>
        <v>2.0460000000000003</v>
      </c>
      <c r="M52" s="27"/>
      <c r="Y52" s="27" t="s">
        <v>38</v>
      </c>
      <c r="AI52" s="38">
        <f>SUM(Z53:Z53)</f>
        <v>0</v>
      </c>
      <c r="AJ52" s="38">
        <f>SUM(AA53:AA53)</f>
        <v>0</v>
      </c>
      <c r="AK52" s="38">
        <f>SUM(AB53:AB53)</f>
        <v>0</v>
      </c>
    </row>
    <row r="53" spans="1:48" ht="12.75">
      <c r="A53" s="5" t="s">
        <v>27</v>
      </c>
      <c r="B53" s="5" t="s">
        <v>38</v>
      </c>
      <c r="C53" s="5" t="s">
        <v>45</v>
      </c>
      <c r="D53" s="5" t="s">
        <v>69</v>
      </c>
      <c r="E53" s="5" t="s">
        <v>93</v>
      </c>
      <c r="F53" s="19">
        <v>20</v>
      </c>
      <c r="G53" s="19">
        <v>0</v>
      </c>
      <c r="H53" s="19">
        <f>F53*AE53</f>
        <v>0</v>
      </c>
      <c r="I53" s="19">
        <f>J53-H53</f>
        <v>0</v>
      </c>
      <c r="J53" s="19">
        <f>F53*G53</f>
        <v>0</v>
      </c>
      <c r="K53" s="19">
        <v>0.1023</v>
      </c>
      <c r="L53" s="19">
        <f>F53*K53</f>
        <v>2.0460000000000003</v>
      </c>
      <c r="M53" s="31" t="s">
        <v>113</v>
      </c>
      <c r="P53" s="35">
        <f>IF(AG53="5",J53,0)</f>
        <v>0</v>
      </c>
      <c r="R53" s="35">
        <f>IF(AG53="1",H53,0)</f>
        <v>0</v>
      </c>
      <c r="S53" s="35">
        <f>IF(AG53="1",I53,0)</f>
        <v>0</v>
      </c>
      <c r="T53" s="35">
        <f>IF(AG53="7",H53,0)</f>
        <v>0</v>
      </c>
      <c r="U53" s="35">
        <f>IF(AG53="7",I53,0)</f>
        <v>0</v>
      </c>
      <c r="V53" s="35">
        <f>IF(AG53="2",H53,0)</f>
        <v>0</v>
      </c>
      <c r="W53" s="35">
        <f>IF(AG53="2",I53,0)</f>
        <v>0</v>
      </c>
      <c r="X53" s="35">
        <f>IF(AG53="0",J53,0)</f>
        <v>0</v>
      </c>
      <c r="Y53" s="27" t="s">
        <v>38</v>
      </c>
      <c r="Z53" s="19">
        <f>IF(AD53=0,J53,0)</f>
        <v>0</v>
      </c>
      <c r="AA53" s="19">
        <f>IF(AD53=15,J53,0)</f>
        <v>0</v>
      </c>
      <c r="AB53" s="19">
        <f>IF(AD53=21,J53,0)</f>
        <v>0</v>
      </c>
      <c r="AD53" s="35">
        <v>21</v>
      </c>
      <c r="AE53" s="35">
        <f>G53*0.626237102547905</f>
        <v>0</v>
      </c>
      <c r="AF53" s="35">
        <f>G53*(1-0.626237102547905)</f>
        <v>0</v>
      </c>
      <c r="AG53" s="31" t="s">
        <v>7</v>
      </c>
      <c r="AM53" s="35">
        <f>F53*AE53</f>
        <v>0</v>
      </c>
      <c r="AN53" s="35">
        <f>F53*AF53</f>
        <v>0</v>
      </c>
      <c r="AO53" s="36" t="s">
        <v>125</v>
      </c>
      <c r="AP53" s="36" t="s">
        <v>140</v>
      </c>
      <c r="AQ53" s="27" t="s">
        <v>145</v>
      </c>
      <c r="AS53" s="35">
        <f>AM53+AN53</f>
        <v>0</v>
      </c>
      <c r="AT53" s="35">
        <f>G53/(100-AU53)*100</f>
        <v>0</v>
      </c>
      <c r="AU53" s="35">
        <v>0</v>
      </c>
      <c r="AV53" s="35">
        <f>L53</f>
        <v>2.0460000000000003</v>
      </c>
    </row>
    <row r="54" spans="1:37" ht="12.75">
      <c r="A54" s="4"/>
      <c r="B54" s="13" t="s">
        <v>38</v>
      </c>
      <c r="C54" s="13" t="s">
        <v>46</v>
      </c>
      <c r="D54" s="74" t="s">
        <v>70</v>
      </c>
      <c r="E54" s="75"/>
      <c r="F54" s="75"/>
      <c r="G54" s="75"/>
      <c r="H54" s="38">
        <f>SUM(H55:H57)</f>
        <v>0</v>
      </c>
      <c r="I54" s="38">
        <f>SUM(I55:I57)</f>
        <v>0</v>
      </c>
      <c r="J54" s="38">
        <f>H54+I54</f>
        <v>0</v>
      </c>
      <c r="K54" s="27"/>
      <c r="L54" s="38">
        <f>SUM(L55:L57)</f>
        <v>115.94030000000001</v>
      </c>
      <c r="M54" s="27"/>
      <c r="Y54" s="27" t="s">
        <v>38</v>
      </c>
      <c r="AI54" s="38">
        <f>SUM(Z55:Z57)</f>
        <v>0</v>
      </c>
      <c r="AJ54" s="38">
        <f>SUM(AA55:AA57)</f>
        <v>0</v>
      </c>
      <c r="AK54" s="38">
        <f>SUM(AB55:AB57)</f>
        <v>0</v>
      </c>
    </row>
    <row r="55" spans="1:48" ht="12.75">
      <c r="A55" s="5" t="s">
        <v>28</v>
      </c>
      <c r="B55" s="5" t="s">
        <v>38</v>
      </c>
      <c r="C55" s="5" t="s">
        <v>47</v>
      </c>
      <c r="D55" s="5" t="s">
        <v>71</v>
      </c>
      <c r="E55" s="5" t="s">
        <v>93</v>
      </c>
      <c r="F55" s="19">
        <v>890</v>
      </c>
      <c r="G55" s="19">
        <v>0</v>
      </c>
      <c r="H55" s="19">
        <f>F55*AE55</f>
        <v>0</v>
      </c>
      <c r="I55" s="19">
        <f>J55-H55</f>
        <v>0</v>
      </c>
      <c r="J55" s="19">
        <f>F55*G55</f>
        <v>0</v>
      </c>
      <c r="K55" s="19">
        <v>0.00061</v>
      </c>
      <c r="L55" s="19">
        <f>F55*K55</f>
        <v>0.5428999999999999</v>
      </c>
      <c r="M55" s="31" t="s">
        <v>113</v>
      </c>
      <c r="P55" s="35">
        <f>IF(AG55="5",J55,0)</f>
        <v>0</v>
      </c>
      <c r="R55" s="35">
        <f>IF(AG55="1",H55,0)</f>
        <v>0</v>
      </c>
      <c r="S55" s="35">
        <f>IF(AG55="1",I55,0)</f>
        <v>0</v>
      </c>
      <c r="T55" s="35">
        <f>IF(AG55="7",H55,0)</f>
        <v>0</v>
      </c>
      <c r="U55" s="35">
        <f>IF(AG55="7",I55,0)</f>
        <v>0</v>
      </c>
      <c r="V55" s="35">
        <f>IF(AG55="2",H55,0)</f>
        <v>0</v>
      </c>
      <c r="W55" s="35">
        <f>IF(AG55="2",I55,0)</f>
        <v>0</v>
      </c>
      <c r="X55" s="35">
        <f>IF(AG55="0",J55,0)</f>
        <v>0</v>
      </c>
      <c r="Y55" s="27" t="s">
        <v>38</v>
      </c>
      <c r="Z55" s="19">
        <f>IF(AD55=0,J55,0)</f>
        <v>0</v>
      </c>
      <c r="AA55" s="19">
        <f>IF(AD55=15,J55,0)</f>
        <v>0</v>
      </c>
      <c r="AB55" s="19">
        <f>IF(AD55=21,J55,0)</f>
        <v>0</v>
      </c>
      <c r="AD55" s="35">
        <v>21</v>
      </c>
      <c r="AE55" s="35">
        <f>G55*0.932857142857143</f>
        <v>0</v>
      </c>
      <c r="AF55" s="35">
        <f>G55*(1-0.932857142857143)</f>
        <v>0</v>
      </c>
      <c r="AG55" s="31" t="s">
        <v>7</v>
      </c>
      <c r="AM55" s="35">
        <f>F55*AE55</f>
        <v>0</v>
      </c>
      <c r="AN55" s="35">
        <f>F55*AF55</f>
        <v>0</v>
      </c>
      <c r="AO55" s="36" t="s">
        <v>126</v>
      </c>
      <c r="AP55" s="36" t="s">
        <v>140</v>
      </c>
      <c r="AQ55" s="27" t="s">
        <v>145</v>
      </c>
      <c r="AS55" s="35">
        <f>AM55+AN55</f>
        <v>0</v>
      </c>
      <c r="AT55" s="35">
        <f>G55/(100-AU55)*100</f>
        <v>0</v>
      </c>
      <c r="AU55" s="35">
        <v>0</v>
      </c>
      <c r="AV55" s="35">
        <f>L55</f>
        <v>0.5428999999999999</v>
      </c>
    </row>
    <row r="56" spans="3:13" ht="12.75">
      <c r="C56" s="15" t="s">
        <v>34</v>
      </c>
      <c r="D56" s="72" t="s">
        <v>72</v>
      </c>
      <c r="E56" s="73"/>
      <c r="F56" s="73"/>
      <c r="G56" s="73"/>
      <c r="H56" s="73"/>
      <c r="I56" s="73"/>
      <c r="J56" s="73"/>
      <c r="K56" s="73"/>
      <c r="L56" s="73"/>
      <c r="M56" s="73"/>
    </row>
    <row r="57" spans="1:48" ht="12.75">
      <c r="A57" s="5" t="s">
        <v>29</v>
      </c>
      <c r="B57" s="5" t="s">
        <v>38</v>
      </c>
      <c r="C57" s="5" t="s">
        <v>48</v>
      </c>
      <c r="D57" s="5" t="s">
        <v>73</v>
      </c>
      <c r="E57" s="5" t="s">
        <v>93</v>
      </c>
      <c r="F57" s="19">
        <v>890</v>
      </c>
      <c r="G57" s="19">
        <v>0</v>
      </c>
      <c r="H57" s="19">
        <f>F57*AE57</f>
        <v>0</v>
      </c>
      <c r="I57" s="19">
        <f>J57-H57</f>
        <v>0</v>
      </c>
      <c r="J57" s="19">
        <f>F57*G57</f>
        <v>0</v>
      </c>
      <c r="K57" s="19">
        <v>0.12966</v>
      </c>
      <c r="L57" s="19">
        <f>F57*K57</f>
        <v>115.3974</v>
      </c>
      <c r="M57" s="31" t="s">
        <v>113</v>
      </c>
      <c r="P57" s="35">
        <f>IF(AG57="5",J57,0)</f>
        <v>0</v>
      </c>
      <c r="R57" s="35">
        <f>IF(AG57="1",H57,0)</f>
        <v>0</v>
      </c>
      <c r="S57" s="35">
        <f>IF(AG57="1",I57,0)</f>
        <v>0</v>
      </c>
      <c r="T57" s="35">
        <f>IF(AG57="7",H57,0)</f>
        <v>0</v>
      </c>
      <c r="U57" s="35">
        <f>IF(AG57="7",I57,0)</f>
        <v>0</v>
      </c>
      <c r="V57" s="35">
        <f>IF(AG57="2",H57,0)</f>
        <v>0</v>
      </c>
      <c r="W57" s="35">
        <f>IF(AG57="2",I57,0)</f>
        <v>0</v>
      </c>
      <c r="X57" s="35">
        <f>IF(AG57="0",J57,0)</f>
        <v>0</v>
      </c>
      <c r="Y57" s="27" t="s">
        <v>38</v>
      </c>
      <c r="Z57" s="19">
        <f>IF(AD57=0,J57,0)</f>
        <v>0</v>
      </c>
      <c r="AA57" s="19">
        <f>IF(AD57=15,J57,0)</f>
        <v>0</v>
      </c>
      <c r="AB57" s="19">
        <f>IF(AD57=21,J57,0)</f>
        <v>0</v>
      </c>
      <c r="AD57" s="35">
        <v>21</v>
      </c>
      <c r="AE57" s="35">
        <f>G57*0.624036076662909</f>
        <v>0</v>
      </c>
      <c r="AF57" s="35">
        <f>G57*(1-0.624036076662909)</f>
        <v>0</v>
      </c>
      <c r="AG57" s="31" t="s">
        <v>7</v>
      </c>
      <c r="AM57" s="35">
        <f>F57*AE57</f>
        <v>0</v>
      </c>
      <c r="AN57" s="35">
        <f>F57*AF57</f>
        <v>0</v>
      </c>
      <c r="AO57" s="36" t="s">
        <v>126</v>
      </c>
      <c r="AP57" s="36" t="s">
        <v>140</v>
      </c>
      <c r="AQ57" s="27" t="s">
        <v>145</v>
      </c>
      <c r="AS57" s="35">
        <f>AM57+AN57</f>
        <v>0</v>
      </c>
      <c r="AT57" s="35">
        <f>G57/(100-AU57)*100</f>
        <v>0</v>
      </c>
      <c r="AU57" s="35">
        <v>0</v>
      </c>
      <c r="AV57" s="35">
        <f>L57</f>
        <v>115.3974</v>
      </c>
    </row>
    <row r="58" spans="1:37" ht="12.75">
      <c r="A58" s="4"/>
      <c r="B58" s="13" t="s">
        <v>38</v>
      </c>
      <c r="C58" s="13" t="s">
        <v>56</v>
      </c>
      <c r="D58" s="74" t="s">
        <v>85</v>
      </c>
      <c r="E58" s="75"/>
      <c r="F58" s="75"/>
      <c r="G58" s="75"/>
      <c r="H58" s="38">
        <f>SUM(H59:H59)</f>
        <v>0</v>
      </c>
      <c r="I58" s="38">
        <f>SUM(I59:I59)</f>
        <v>0</v>
      </c>
      <c r="J58" s="38">
        <f>H58+I58</f>
        <v>0</v>
      </c>
      <c r="K58" s="27"/>
      <c r="L58" s="38">
        <f>SUM(L59:L59)</f>
        <v>2.58176</v>
      </c>
      <c r="M58" s="27"/>
      <c r="Y58" s="27" t="s">
        <v>38</v>
      </c>
      <c r="AI58" s="38">
        <f>SUM(Z59:Z59)</f>
        <v>0</v>
      </c>
      <c r="AJ58" s="38">
        <f>SUM(AA59:AA59)</f>
        <v>0</v>
      </c>
      <c r="AK58" s="38">
        <f>SUM(AB59:AB59)</f>
        <v>0</v>
      </c>
    </row>
    <row r="59" spans="1:48" ht="12.75">
      <c r="A59" s="5" t="s">
        <v>30</v>
      </c>
      <c r="B59" s="5" t="s">
        <v>38</v>
      </c>
      <c r="C59" s="5" t="s">
        <v>57</v>
      </c>
      <c r="D59" s="5" t="s">
        <v>86</v>
      </c>
      <c r="E59" s="5" t="s">
        <v>96</v>
      </c>
      <c r="F59" s="19">
        <v>8</v>
      </c>
      <c r="G59" s="19">
        <v>0</v>
      </c>
      <c r="H59" s="19">
        <f>F59*AE59</f>
        <v>0</v>
      </c>
      <c r="I59" s="19">
        <f>J59-H59</f>
        <v>0</v>
      </c>
      <c r="J59" s="19">
        <f>F59*G59</f>
        <v>0</v>
      </c>
      <c r="K59" s="19">
        <v>0.32272</v>
      </c>
      <c r="L59" s="19">
        <f>F59*K59</f>
        <v>2.58176</v>
      </c>
      <c r="M59" s="31" t="s">
        <v>113</v>
      </c>
      <c r="P59" s="35">
        <f>IF(AG59="5",J59,0)</f>
        <v>0</v>
      </c>
      <c r="R59" s="35">
        <f>IF(AG59="1",H59,0)</f>
        <v>0</v>
      </c>
      <c r="S59" s="35">
        <f>IF(AG59="1",I59,0)</f>
        <v>0</v>
      </c>
      <c r="T59" s="35">
        <f>IF(AG59="7",H59,0)</f>
        <v>0</v>
      </c>
      <c r="U59" s="35">
        <f>IF(AG59="7",I59,0)</f>
        <v>0</v>
      </c>
      <c r="V59" s="35">
        <f>IF(AG59="2",H59,0)</f>
        <v>0</v>
      </c>
      <c r="W59" s="35">
        <f>IF(AG59="2",I59,0)</f>
        <v>0</v>
      </c>
      <c r="X59" s="35">
        <f>IF(AG59="0",J59,0)</f>
        <v>0</v>
      </c>
      <c r="Y59" s="27" t="s">
        <v>38</v>
      </c>
      <c r="Z59" s="19">
        <f>IF(AD59=0,J59,0)</f>
        <v>0</v>
      </c>
      <c r="AA59" s="19">
        <f>IF(AD59=15,J59,0)</f>
        <v>0</v>
      </c>
      <c r="AB59" s="19">
        <f>IF(AD59=21,J59,0)</f>
        <v>0</v>
      </c>
      <c r="AD59" s="35">
        <v>21</v>
      </c>
      <c r="AE59" s="35">
        <f>G59*0.448313908422427</f>
        <v>0</v>
      </c>
      <c r="AF59" s="35">
        <f>G59*(1-0.448313908422427)</f>
        <v>0</v>
      </c>
      <c r="AG59" s="31" t="s">
        <v>7</v>
      </c>
      <c r="AM59" s="35">
        <f>F59*AE59</f>
        <v>0</v>
      </c>
      <c r="AN59" s="35">
        <f>F59*AF59</f>
        <v>0</v>
      </c>
      <c r="AO59" s="36" t="s">
        <v>129</v>
      </c>
      <c r="AP59" s="36" t="s">
        <v>141</v>
      </c>
      <c r="AQ59" s="27" t="s">
        <v>145</v>
      </c>
      <c r="AS59" s="35">
        <f>AM59+AN59</f>
        <v>0</v>
      </c>
      <c r="AT59" s="35">
        <f>G59/(100-AU59)*100</f>
        <v>0</v>
      </c>
      <c r="AU59" s="35">
        <v>0</v>
      </c>
      <c r="AV59" s="35">
        <f>L59</f>
        <v>2.58176</v>
      </c>
    </row>
    <row r="60" spans="3:13" ht="12.75">
      <c r="C60" s="15" t="s">
        <v>34</v>
      </c>
      <c r="D60" s="72" t="s">
        <v>87</v>
      </c>
      <c r="E60" s="73"/>
      <c r="F60" s="73"/>
      <c r="G60" s="73"/>
      <c r="H60" s="73"/>
      <c r="I60" s="73"/>
      <c r="J60" s="73"/>
      <c r="K60" s="73"/>
      <c r="L60" s="73"/>
      <c r="M60" s="73"/>
    </row>
    <row r="61" spans="1:37" ht="12.75">
      <c r="A61" s="4"/>
      <c r="B61" s="13" t="s">
        <v>38</v>
      </c>
      <c r="C61" s="13" t="s">
        <v>50</v>
      </c>
      <c r="D61" s="74" t="s">
        <v>75</v>
      </c>
      <c r="E61" s="75"/>
      <c r="F61" s="75"/>
      <c r="G61" s="75"/>
      <c r="H61" s="38">
        <f>SUM(H62:H62)</f>
        <v>0</v>
      </c>
      <c r="I61" s="38">
        <f>SUM(I62:I62)</f>
        <v>0</v>
      </c>
      <c r="J61" s="38">
        <f>H61+I61</f>
        <v>0</v>
      </c>
      <c r="K61" s="27"/>
      <c r="L61" s="38">
        <f>SUM(L62:L62)</f>
        <v>0</v>
      </c>
      <c r="M61" s="27"/>
      <c r="Y61" s="27" t="s">
        <v>38</v>
      </c>
      <c r="AI61" s="38">
        <f>SUM(Z62:Z62)</f>
        <v>0</v>
      </c>
      <c r="AJ61" s="38">
        <f>SUM(AA62:AA62)</f>
        <v>0</v>
      </c>
      <c r="AK61" s="38">
        <f>SUM(AB62:AB62)</f>
        <v>0</v>
      </c>
    </row>
    <row r="62" spans="1:48" ht="12.75">
      <c r="A62" s="5" t="s">
        <v>31</v>
      </c>
      <c r="B62" s="5" t="s">
        <v>38</v>
      </c>
      <c r="C62" s="5" t="s">
        <v>51</v>
      </c>
      <c r="D62" s="5" t="s">
        <v>76</v>
      </c>
      <c r="E62" s="5" t="s">
        <v>95</v>
      </c>
      <c r="F62" s="19">
        <v>121.43</v>
      </c>
      <c r="G62" s="19">
        <v>0</v>
      </c>
      <c r="H62" s="19">
        <f>F62*AE62</f>
        <v>0</v>
      </c>
      <c r="I62" s="19">
        <f>J62-H62</f>
        <v>0</v>
      </c>
      <c r="J62" s="19">
        <f>F62*G62</f>
        <v>0</v>
      </c>
      <c r="K62" s="19">
        <v>0</v>
      </c>
      <c r="L62" s="19">
        <f>F62*K62</f>
        <v>0</v>
      </c>
      <c r="M62" s="31" t="s">
        <v>113</v>
      </c>
      <c r="P62" s="35">
        <f>IF(AG62="5",J62,0)</f>
        <v>0</v>
      </c>
      <c r="R62" s="35">
        <f>IF(AG62="1",H62,0)</f>
        <v>0</v>
      </c>
      <c r="S62" s="35">
        <f>IF(AG62="1",I62,0)</f>
        <v>0</v>
      </c>
      <c r="T62" s="35">
        <f>IF(AG62="7",H62,0)</f>
        <v>0</v>
      </c>
      <c r="U62" s="35">
        <f>IF(AG62="7",I62,0)</f>
        <v>0</v>
      </c>
      <c r="V62" s="35">
        <f>IF(AG62="2",H62,0)</f>
        <v>0</v>
      </c>
      <c r="W62" s="35">
        <f>IF(AG62="2",I62,0)</f>
        <v>0</v>
      </c>
      <c r="X62" s="35">
        <f>IF(AG62="0",J62,0)</f>
        <v>0</v>
      </c>
      <c r="Y62" s="27" t="s">
        <v>38</v>
      </c>
      <c r="Z62" s="19">
        <f>IF(AD62=0,J62,0)</f>
        <v>0</v>
      </c>
      <c r="AA62" s="19">
        <f>IF(AD62=15,J62,0)</f>
        <v>0</v>
      </c>
      <c r="AB62" s="19">
        <f>IF(AD62=21,J62,0)</f>
        <v>0</v>
      </c>
      <c r="AD62" s="35">
        <v>21</v>
      </c>
      <c r="AE62" s="35">
        <f>G62*0</f>
        <v>0</v>
      </c>
      <c r="AF62" s="35">
        <f>G62*(1-0)</f>
        <v>0</v>
      </c>
      <c r="AG62" s="31" t="s">
        <v>11</v>
      </c>
      <c r="AM62" s="35">
        <f>F62*AE62</f>
        <v>0</v>
      </c>
      <c r="AN62" s="35">
        <f>F62*AF62</f>
        <v>0</v>
      </c>
      <c r="AO62" s="36" t="s">
        <v>127</v>
      </c>
      <c r="AP62" s="36" t="s">
        <v>142</v>
      </c>
      <c r="AQ62" s="27" t="s">
        <v>145</v>
      </c>
      <c r="AS62" s="35">
        <f>AM62+AN62</f>
        <v>0</v>
      </c>
      <c r="AT62" s="35">
        <f>G62/(100-AU62)*100</f>
        <v>0</v>
      </c>
      <c r="AU62" s="35">
        <v>0</v>
      </c>
      <c r="AV62" s="35">
        <f>L62</f>
        <v>0</v>
      </c>
    </row>
    <row r="63" spans="1:37" ht="12.75">
      <c r="A63" s="4"/>
      <c r="B63" s="13" t="s">
        <v>38</v>
      </c>
      <c r="C63" s="13" t="s">
        <v>52</v>
      </c>
      <c r="D63" s="74" t="s">
        <v>77</v>
      </c>
      <c r="E63" s="75"/>
      <c r="F63" s="75"/>
      <c r="G63" s="75"/>
      <c r="H63" s="38">
        <f>SUM(H64:H65)</f>
        <v>0</v>
      </c>
      <c r="I63" s="38">
        <f>SUM(I64:I65)</f>
        <v>0</v>
      </c>
      <c r="J63" s="38">
        <f>H63+I63</f>
        <v>0</v>
      </c>
      <c r="K63" s="27"/>
      <c r="L63" s="38">
        <f>SUM(L64:L65)</f>
        <v>0</v>
      </c>
      <c r="M63" s="27"/>
      <c r="Y63" s="27" t="s">
        <v>38</v>
      </c>
      <c r="AI63" s="38">
        <f>SUM(Z64:Z65)</f>
        <v>0</v>
      </c>
      <c r="AJ63" s="38">
        <f>SUM(AA64:AA65)</f>
        <v>0</v>
      </c>
      <c r="AK63" s="38">
        <f>SUM(AB64:AB65)</f>
        <v>0</v>
      </c>
    </row>
    <row r="64" spans="1:48" ht="12.75">
      <c r="A64" s="5" t="s">
        <v>32</v>
      </c>
      <c r="B64" s="5" t="s">
        <v>38</v>
      </c>
      <c r="C64" s="5" t="s">
        <v>53</v>
      </c>
      <c r="D64" s="5" t="s">
        <v>78</v>
      </c>
      <c r="E64" s="5" t="s">
        <v>95</v>
      </c>
      <c r="F64" s="19">
        <v>95</v>
      </c>
      <c r="G64" s="19">
        <v>0</v>
      </c>
      <c r="H64" s="19">
        <f>F64*AE64</f>
        <v>0</v>
      </c>
      <c r="I64" s="19">
        <f>J64-H64</f>
        <v>0</v>
      </c>
      <c r="J64" s="19">
        <f>F64*G64</f>
        <v>0</v>
      </c>
      <c r="K64" s="19">
        <v>0</v>
      </c>
      <c r="L64" s="19">
        <f>F64*K64</f>
        <v>0</v>
      </c>
      <c r="M64" s="31" t="s">
        <v>113</v>
      </c>
      <c r="P64" s="35">
        <f>IF(AG64="5",J64,0)</f>
        <v>0</v>
      </c>
      <c r="R64" s="35">
        <f>IF(AG64="1",H64,0)</f>
        <v>0</v>
      </c>
      <c r="S64" s="35">
        <f>IF(AG64="1",I64,0)</f>
        <v>0</v>
      </c>
      <c r="T64" s="35">
        <f>IF(AG64="7",H64,0)</f>
        <v>0</v>
      </c>
      <c r="U64" s="35">
        <f>IF(AG64="7",I64,0)</f>
        <v>0</v>
      </c>
      <c r="V64" s="35">
        <f>IF(AG64="2",H64,0)</f>
        <v>0</v>
      </c>
      <c r="W64" s="35">
        <f>IF(AG64="2",I64,0)</f>
        <v>0</v>
      </c>
      <c r="X64" s="35">
        <f>IF(AG64="0",J64,0)</f>
        <v>0</v>
      </c>
      <c r="Y64" s="27" t="s">
        <v>38</v>
      </c>
      <c r="Z64" s="19">
        <f>IF(AD64=0,J64,0)</f>
        <v>0</v>
      </c>
      <c r="AA64" s="19">
        <f>IF(AD64=15,J64,0)</f>
        <v>0</v>
      </c>
      <c r="AB64" s="19">
        <f>IF(AD64=21,J64,0)</f>
        <v>0</v>
      </c>
      <c r="AD64" s="35">
        <v>21</v>
      </c>
      <c r="AE64" s="35">
        <f>G64*0</f>
        <v>0</v>
      </c>
      <c r="AF64" s="35">
        <f>G64*(1-0)</f>
        <v>0</v>
      </c>
      <c r="AG64" s="31" t="s">
        <v>11</v>
      </c>
      <c r="AM64" s="35">
        <f>F64*AE64</f>
        <v>0</v>
      </c>
      <c r="AN64" s="35">
        <f>F64*AF64</f>
        <v>0</v>
      </c>
      <c r="AO64" s="36" t="s">
        <v>128</v>
      </c>
      <c r="AP64" s="36" t="s">
        <v>142</v>
      </c>
      <c r="AQ64" s="27" t="s">
        <v>145</v>
      </c>
      <c r="AS64" s="35">
        <f>AM64+AN64</f>
        <v>0</v>
      </c>
      <c r="AT64" s="35">
        <f>G64/(100-AU64)*100</f>
        <v>0</v>
      </c>
      <c r="AU64" s="35">
        <v>0</v>
      </c>
      <c r="AV64" s="35">
        <f>L64</f>
        <v>0</v>
      </c>
    </row>
    <row r="65" spans="1:48" ht="12.75">
      <c r="A65" s="7" t="s">
        <v>33</v>
      </c>
      <c r="B65" s="7" t="s">
        <v>38</v>
      </c>
      <c r="C65" s="7" t="s">
        <v>54</v>
      </c>
      <c r="D65" s="7" t="s">
        <v>79</v>
      </c>
      <c r="E65" s="7" t="s">
        <v>95</v>
      </c>
      <c r="F65" s="20">
        <v>95</v>
      </c>
      <c r="G65" s="20">
        <v>0</v>
      </c>
      <c r="H65" s="20">
        <f>F65*AE65</f>
        <v>0</v>
      </c>
      <c r="I65" s="20">
        <f>J65-H65</f>
        <v>0</v>
      </c>
      <c r="J65" s="20">
        <f>F65*G65</f>
        <v>0</v>
      </c>
      <c r="K65" s="20">
        <v>0</v>
      </c>
      <c r="L65" s="20">
        <f>F65*K65</f>
        <v>0</v>
      </c>
      <c r="M65" s="32" t="s">
        <v>113</v>
      </c>
      <c r="P65" s="35">
        <f>IF(AG65="5",J65,0)</f>
        <v>0</v>
      </c>
      <c r="R65" s="35">
        <f>IF(AG65="1",H65,0)</f>
        <v>0</v>
      </c>
      <c r="S65" s="35">
        <f>IF(AG65="1",I65,0)</f>
        <v>0</v>
      </c>
      <c r="T65" s="35">
        <f>IF(AG65="7",H65,0)</f>
        <v>0</v>
      </c>
      <c r="U65" s="35">
        <f>IF(AG65="7",I65,0)</f>
        <v>0</v>
      </c>
      <c r="V65" s="35">
        <f>IF(AG65="2",H65,0)</f>
        <v>0</v>
      </c>
      <c r="W65" s="35">
        <f>IF(AG65="2",I65,0)</f>
        <v>0</v>
      </c>
      <c r="X65" s="35">
        <f>IF(AG65="0",J65,0)</f>
        <v>0</v>
      </c>
      <c r="Y65" s="27" t="s">
        <v>38</v>
      </c>
      <c r="Z65" s="19">
        <f>IF(AD65=0,J65,0)</f>
        <v>0</v>
      </c>
      <c r="AA65" s="19">
        <f>IF(AD65=15,J65,0)</f>
        <v>0</v>
      </c>
      <c r="AB65" s="19">
        <f>IF(AD65=21,J65,0)</f>
        <v>0</v>
      </c>
      <c r="AD65" s="35">
        <v>21</v>
      </c>
      <c r="AE65" s="35">
        <f>G65*0</f>
        <v>0</v>
      </c>
      <c r="AF65" s="35">
        <f>G65*(1-0)</f>
        <v>0</v>
      </c>
      <c r="AG65" s="31" t="s">
        <v>11</v>
      </c>
      <c r="AM65" s="35">
        <f>F65*AE65</f>
        <v>0</v>
      </c>
      <c r="AN65" s="35">
        <f>F65*AF65</f>
        <v>0</v>
      </c>
      <c r="AO65" s="36" t="s">
        <v>128</v>
      </c>
      <c r="AP65" s="36" t="s">
        <v>142</v>
      </c>
      <c r="AQ65" s="27" t="s">
        <v>145</v>
      </c>
      <c r="AS65" s="35">
        <f>AM65+AN65</f>
        <v>0</v>
      </c>
      <c r="AT65" s="35">
        <f>G65/(100-AU65)*100</f>
        <v>0</v>
      </c>
      <c r="AU65" s="35">
        <v>0</v>
      </c>
      <c r="AV65" s="35">
        <f>L65</f>
        <v>0</v>
      </c>
    </row>
    <row r="66" spans="1:13" ht="12.75">
      <c r="A66" s="8"/>
      <c r="B66" s="8"/>
      <c r="C66" s="8"/>
      <c r="D66" s="8"/>
      <c r="E66" s="8"/>
      <c r="F66" s="8"/>
      <c r="G66" s="8"/>
      <c r="H66" s="76" t="s">
        <v>102</v>
      </c>
      <c r="I66" s="77"/>
      <c r="J66" s="40">
        <f>J13+J16+J18+J20+J25+J27+J32+J34+J36+J38+J42+J44+J48+J50+J52+J54+J58+J61+J63</f>
        <v>0</v>
      </c>
      <c r="K66" s="8"/>
      <c r="L66" s="8"/>
      <c r="M66" s="8"/>
    </row>
    <row r="67" ht="11.25" customHeight="1">
      <c r="A67" s="9" t="s">
        <v>34</v>
      </c>
    </row>
    <row r="68" spans="1:13" ht="409.5" customHeight="1" hidden="1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</sheetData>
  <sheetProtection/>
  <mergeCells count="56">
    <mergeCell ref="I4:I5"/>
    <mergeCell ref="J4:M5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8:I9"/>
    <mergeCell ref="J8:M9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D30:M30"/>
    <mergeCell ref="D31:G31"/>
    <mergeCell ref="H10:J10"/>
    <mergeCell ref="K10:L10"/>
    <mergeCell ref="D12:G12"/>
    <mergeCell ref="D13:G13"/>
    <mergeCell ref="D16:G16"/>
    <mergeCell ref="D18:G18"/>
    <mergeCell ref="D20:G20"/>
    <mergeCell ref="D22:M22"/>
    <mergeCell ref="D25:G25"/>
    <mergeCell ref="D27:G27"/>
    <mergeCell ref="D52:G52"/>
    <mergeCell ref="D54:G54"/>
    <mergeCell ref="D32:G32"/>
    <mergeCell ref="D34:G34"/>
    <mergeCell ref="D36:G36"/>
    <mergeCell ref="D38:G38"/>
    <mergeCell ref="D40:M40"/>
    <mergeCell ref="D42:G42"/>
    <mergeCell ref="D44:G44"/>
    <mergeCell ref="D47:G47"/>
    <mergeCell ref="D48:G48"/>
    <mergeCell ref="D50:G50"/>
    <mergeCell ref="A68:M68"/>
    <mergeCell ref="D56:M56"/>
    <mergeCell ref="D58:G58"/>
    <mergeCell ref="D60:M60"/>
    <mergeCell ref="D61:G61"/>
    <mergeCell ref="D63:G63"/>
    <mergeCell ref="H66:I66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11" width="14.28125" style="0" customWidth="1"/>
    <col min="12" max="12" width="11.7109375" style="0" customWidth="1"/>
    <col min="13" max="14" width="12.140625" style="0" hidden="1" customWidth="1"/>
  </cols>
  <sheetData>
    <row r="1" spans="1:12" ht="72.75" customHeight="1">
      <c r="A1" s="93" t="s">
        <v>146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3" ht="12.75">
      <c r="A2" s="95" t="s">
        <v>1</v>
      </c>
      <c r="B2" s="96"/>
      <c r="C2" s="96"/>
      <c r="D2" s="97" t="s">
        <v>58</v>
      </c>
      <c r="E2" s="99" t="s">
        <v>88</v>
      </c>
      <c r="F2" s="96"/>
      <c r="G2" s="99"/>
      <c r="H2" s="96"/>
      <c r="I2" s="100" t="s">
        <v>103</v>
      </c>
      <c r="J2" s="100"/>
      <c r="K2" s="96"/>
      <c r="L2" s="101"/>
      <c r="M2" s="33"/>
    </row>
    <row r="3" spans="1:13" ht="12.75">
      <c r="A3" s="92"/>
      <c r="B3" s="71"/>
      <c r="C3" s="71"/>
      <c r="D3" s="98"/>
      <c r="E3" s="71"/>
      <c r="F3" s="71"/>
      <c r="G3" s="71"/>
      <c r="H3" s="71"/>
      <c r="I3" s="71"/>
      <c r="J3" s="71"/>
      <c r="K3" s="71"/>
      <c r="L3" s="90"/>
      <c r="M3" s="33"/>
    </row>
    <row r="4" spans="1:13" ht="12.75">
      <c r="A4" s="85" t="s">
        <v>2</v>
      </c>
      <c r="B4" s="71"/>
      <c r="C4" s="71"/>
      <c r="D4" s="70" t="s">
        <v>59</v>
      </c>
      <c r="E4" s="88" t="s">
        <v>89</v>
      </c>
      <c r="F4" s="71"/>
      <c r="G4" s="88" t="s">
        <v>6</v>
      </c>
      <c r="H4" s="71"/>
      <c r="I4" s="70" t="s">
        <v>104</v>
      </c>
      <c r="J4" s="70"/>
      <c r="K4" s="71"/>
      <c r="L4" s="90"/>
      <c r="M4" s="33"/>
    </row>
    <row r="5" spans="1:13" ht="12.75">
      <c r="A5" s="92"/>
      <c r="B5" s="71"/>
      <c r="C5" s="71"/>
      <c r="D5" s="71"/>
      <c r="E5" s="71"/>
      <c r="F5" s="71"/>
      <c r="G5" s="71"/>
      <c r="H5" s="71"/>
      <c r="I5" s="71"/>
      <c r="J5" s="71"/>
      <c r="K5" s="71"/>
      <c r="L5" s="90"/>
      <c r="M5" s="33"/>
    </row>
    <row r="6" spans="1:13" ht="12.75">
      <c r="A6" s="85" t="s">
        <v>3</v>
      </c>
      <c r="B6" s="71"/>
      <c r="C6" s="71"/>
      <c r="D6" s="70" t="s">
        <v>60</v>
      </c>
      <c r="E6" s="88" t="s">
        <v>90</v>
      </c>
      <c r="F6" s="71"/>
      <c r="G6" s="71"/>
      <c r="H6" s="71"/>
      <c r="I6" s="70" t="s">
        <v>105</v>
      </c>
      <c r="J6" s="70"/>
      <c r="K6" s="71"/>
      <c r="L6" s="90"/>
      <c r="M6" s="33"/>
    </row>
    <row r="7" spans="1:13" ht="12.75">
      <c r="A7" s="92"/>
      <c r="B7" s="71"/>
      <c r="C7" s="71"/>
      <c r="D7" s="71"/>
      <c r="E7" s="71"/>
      <c r="F7" s="71"/>
      <c r="G7" s="71"/>
      <c r="H7" s="71"/>
      <c r="I7" s="71"/>
      <c r="J7" s="71"/>
      <c r="K7" s="71"/>
      <c r="L7" s="90"/>
      <c r="M7" s="33"/>
    </row>
    <row r="8" spans="1:13" ht="12.75">
      <c r="A8" s="85" t="s">
        <v>4</v>
      </c>
      <c r="B8" s="71"/>
      <c r="C8" s="71"/>
      <c r="D8" s="70">
        <v>8222772</v>
      </c>
      <c r="E8" s="88" t="s">
        <v>91</v>
      </c>
      <c r="F8" s="71"/>
      <c r="G8" s="89">
        <v>42731</v>
      </c>
      <c r="H8" s="71"/>
      <c r="I8" s="70" t="s">
        <v>106</v>
      </c>
      <c r="J8" s="70" t="s">
        <v>108</v>
      </c>
      <c r="K8" s="71"/>
      <c r="L8" s="90"/>
      <c r="M8" s="33"/>
    </row>
    <row r="9" spans="1:13" ht="12.75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91"/>
      <c r="M9" s="33"/>
    </row>
    <row r="10" spans="1:13" ht="12.75">
      <c r="A10" s="41" t="s">
        <v>6</v>
      </c>
      <c r="B10" s="68" t="s">
        <v>6</v>
      </c>
      <c r="C10" s="69"/>
      <c r="D10" s="69"/>
      <c r="E10" s="69"/>
      <c r="F10" s="69"/>
      <c r="G10" s="69"/>
      <c r="H10" s="65"/>
      <c r="I10" s="80" t="s">
        <v>100</v>
      </c>
      <c r="J10" s="81"/>
      <c r="K10" s="82"/>
      <c r="L10" s="45" t="s">
        <v>110</v>
      </c>
      <c r="M10" s="34"/>
    </row>
    <row r="11" spans="1:13" ht="12.75">
      <c r="A11" s="16" t="s">
        <v>35</v>
      </c>
      <c r="B11" s="66" t="s">
        <v>61</v>
      </c>
      <c r="C11" s="67"/>
      <c r="D11" s="67"/>
      <c r="E11" s="67"/>
      <c r="F11" s="67"/>
      <c r="G11" s="67"/>
      <c r="H11" s="102"/>
      <c r="I11" s="23" t="s">
        <v>101</v>
      </c>
      <c r="J11" s="24" t="s">
        <v>107</v>
      </c>
      <c r="K11" s="24" t="s">
        <v>109</v>
      </c>
      <c r="L11" s="25" t="s">
        <v>109</v>
      </c>
      <c r="M11" s="34"/>
    </row>
    <row r="12" spans="1:14" ht="12.75">
      <c r="A12" s="42" t="s">
        <v>36</v>
      </c>
      <c r="B12" s="103" t="s">
        <v>63</v>
      </c>
      <c r="C12" s="69"/>
      <c r="D12" s="69"/>
      <c r="E12" s="69"/>
      <c r="F12" s="69"/>
      <c r="G12" s="69"/>
      <c r="H12" s="69"/>
      <c r="I12" s="46">
        <f>'Stavební rozpočet'!H12</f>
        <v>0</v>
      </c>
      <c r="J12" s="46">
        <f>'Stavební rozpočet'!I12</f>
        <v>0</v>
      </c>
      <c r="K12" s="46">
        <f>I12+J12</f>
        <v>0</v>
      </c>
      <c r="L12" s="46">
        <f>'Stavební rozpočet'!L12</f>
        <v>264.8915</v>
      </c>
      <c r="M12" s="35" t="s">
        <v>147</v>
      </c>
      <c r="N12" s="35">
        <f>IF(M12="F",0,K12)</f>
        <v>0</v>
      </c>
    </row>
    <row r="13" spans="1:14" ht="12.75">
      <c r="A13" s="17" t="s">
        <v>37</v>
      </c>
      <c r="B13" s="88" t="s">
        <v>81</v>
      </c>
      <c r="C13" s="71"/>
      <c r="D13" s="71"/>
      <c r="E13" s="71"/>
      <c r="F13" s="71"/>
      <c r="G13" s="71"/>
      <c r="H13" s="71"/>
      <c r="I13" s="35">
        <f>'Stavební rozpočet'!H31</f>
        <v>0</v>
      </c>
      <c r="J13" s="35">
        <f>'Stavební rozpočet'!I31</f>
        <v>0</v>
      </c>
      <c r="K13" s="35">
        <f>I13+J13</f>
        <v>0</v>
      </c>
      <c r="L13" s="35">
        <f>'Stavební rozpočet'!L31</f>
        <v>104.43075</v>
      </c>
      <c r="M13" s="35" t="s">
        <v>147</v>
      </c>
      <c r="N13" s="35">
        <f>IF(M13="F",0,K13)</f>
        <v>0</v>
      </c>
    </row>
    <row r="14" spans="1:14" ht="12.75">
      <c r="A14" s="43" t="s">
        <v>38</v>
      </c>
      <c r="B14" s="104" t="s">
        <v>84</v>
      </c>
      <c r="C14" s="105"/>
      <c r="D14" s="105"/>
      <c r="E14" s="105"/>
      <c r="F14" s="105"/>
      <c r="G14" s="105"/>
      <c r="H14" s="105"/>
      <c r="I14" s="47">
        <f>'Stavební rozpočet'!H47</f>
        <v>0</v>
      </c>
      <c r="J14" s="47">
        <f>'Stavební rozpočet'!I47</f>
        <v>0</v>
      </c>
      <c r="K14" s="47">
        <f>I14+J14</f>
        <v>0</v>
      </c>
      <c r="L14" s="47">
        <f>'Stavební rozpočet'!L47</f>
        <v>218.48556000000002</v>
      </c>
      <c r="M14" s="35" t="s">
        <v>147</v>
      </c>
      <c r="N14" s="35">
        <f>IF(M14="F",0,K14)</f>
        <v>0</v>
      </c>
    </row>
    <row r="15" spans="1:12" ht="11.25" customHeight="1">
      <c r="A15" s="44" t="s">
        <v>34</v>
      </c>
      <c r="B15" s="8"/>
      <c r="C15" s="8"/>
      <c r="D15" s="8"/>
      <c r="E15" s="8"/>
      <c r="F15" s="8"/>
      <c r="G15" s="8"/>
      <c r="H15" s="8"/>
      <c r="I15" s="76" t="s">
        <v>102</v>
      </c>
      <c r="J15" s="77"/>
      <c r="K15" s="40">
        <f>SUM(K12:K14)</f>
        <v>0</v>
      </c>
      <c r="L15" s="8"/>
    </row>
    <row r="16" spans="1:11" ht="409.5" customHeight="1" hidden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</row>
  </sheetData>
  <sheetProtection/>
  <mergeCells count="33">
    <mergeCell ref="I4:I5"/>
    <mergeCell ref="J4:L5"/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8:I9"/>
    <mergeCell ref="J8:L9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15:J15"/>
    <mergeCell ref="A16:K16"/>
    <mergeCell ref="B10:H10"/>
    <mergeCell ref="I10:K10"/>
    <mergeCell ref="B11:H11"/>
    <mergeCell ref="B12:H12"/>
    <mergeCell ref="B13:H13"/>
    <mergeCell ref="B14:H14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4"/>
      <c r="B1" s="48"/>
      <c r="C1" s="129" t="s">
        <v>163</v>
      </c>
      <c r="D1" s="130"/>
      <c r="E1" s="130"/>
      <c r="F1" s="130"/>
      <c r="G1" s="130"/>
      <c r="H1" s="130"/>
      <c r="I1" s="130"/>
    </row>
    <row r="2" spans="1:10" ht="12.75">
      <c r="A2" s="95" t="s">
        <v>1</v>
      </c>
      <c r="B2" s="96"/>
      <c r="C2" s="97" t="s">
        <v>58</v>
      </c>
      <c r="D2" s="77"/>
      <c r="E2" s="100" t="s">
        <v>103</v>
      </c>
      <c r="F2" s="100"/>
      <c r="G2" s="96"/>
      <c r="H2" s="100" t="s">
        <v>188</v>
      </c>
      <c r="I2" s="131"/>
      <c r="J2" s="33"/>
    </row>
    <row r="3" spans="1:10" ht="12.75">
      <c r="A3" s="92"/>
      <c r="B3" s="71"/>
      <c r="C3" s="98"/>
      <c r="D3" s="98"/>
      <c r="E3" s="71"/>
      <c r="F3" s="71"/>
      <c r="G3" s="71"/>
      <c r="H3" s="71"/>
      <c r="I3" s="90"/>
      <c r="J3" s="33"/>
    </row>
    <row r="4" spans="1:10" ht="12.75">
      <c r="A4" s="85" t="s">
        <v>2</v>
      </c>
      <c r="B4" s="71"/>
      <c r="C4" s="70" t="s">
        <v>59</v>
      </c>
      <c r="D4" s="71"/>
      <c r="E4" s="70" t="s">
        <v>104</v>
      </c>
      <c r="F4" s="70"/>
      <c r="G4" s="71"/>
      <c r="H4" s="70" t="s">
        <v>188</v>
      </c>
      <c r="I4" s="128"/>
      <c r="J4" s="33"/>
    </row>
    <row r="5" spans="1:10" ht="12.75">
      <c r="A5" s="92"/>
      <c r="B5" s="71"/>
      <c r="C5" s="71"/>
      <c r="D5" s="71"/>
      <c r="E5" s="71"/>
      <c r="F5" s="71"/>
      <c r="G5" s="71"/>
      <c r="H5" s="71"/>
      <c r="I5" s="90"/>
      <c r="J5" s="33"/>
    </row>
    <row r="6" spans="1:10" ht="12.75">
      <c r="A6" s="85" t="s">
        <v>3</v>
      </c>
      <c r="B6" s="71"/>
      <c r="C6" s="70" t="s">
        <v>60</v>
      </c>
      <c r="D6" s="71"/>
      <c r="E6" s="70" t="s">
        <v>105</v>
      </c>
      <c r="F6" s="70"/>
      <c r="G6" s="71"/>
      <c r="H6" s="70" t="s">
        <v>188</v>
      </c>
      <c r="I6" s="128"/>
      <c r="J6" s="33"/>
    </row>
    <row r="7" spans="1:10" ht="12.75">
      <c r="A7" s="92"/>
      <c r="B7" s="71"/>
      <c r="C7" s="71"/>
      <c r="D7" s="71"/>
      <c r="E7" s="71"/>
      <c r="F7" s="71"/>
      <c r="G7" s="71"/>
      <c r="H7" s="71"/>
      <c r="I7" s="90"/>
      <c r="J7" s="33"/>
    </row>
    <row r="8" spans="1:10" ht="12.75">
      <c r="A8" s="85" t="s">
        <v>89</v>
      </c>
      <c r="B8" s="71"/>
      <c r="C8" s="88" t="s">
        <v>6</v>
      </c>
      <c r="D8" s="71"/>
      <c r="E8" s="70" t="s">
        <v>90</v>
      </c>
      <c r="F8" s="71"/>
      <c r="G8" s="71"/>
      <c r="H8" s="88" t="s">
        <v>189</v>
      </c>
      <c r="I8" s="128" t="s">
        <v>33</v>
      </c>
      <c r="J8" s="33"/>
    </row>
    <row r="9" spans="1:10" ht="12.75">
      <c r="A9" s="92"/>
      <c r="B9" s="71"/>
      <c r="C9" s="71"/>
      <c r="D9" s="71"/>
      <c r="E9" s="71"/>
      <c r="F9" s="71"/>
      <c r="G9" s="71"/>
      <c r="H9" s="71"/>
      <c r="I9" s="90"/>
      <c r="J9" s="33"/>
    </row>
    <row r="10" spans="1:10" ht="12.75">
      <c r="A10" s="85" t="s">
        <v>4</v>
      </c>
      <c r="B10" s="71"/>
      <c r="C10" s="70">
        <v>8222772</v>
      </c>
      <c r="D10" s="71"/>
      <c r="E10" s="70" t="s">
        <v>106</v>
      </c>
      <c r="F10" s="70" t="s">
        <v>108</v>
      </c>
      <c r="G10" s="71"/>
      <c r="H10" s="88" t="s">
        <v>190</v>
      </c>
      <c r="I10" s="126">
        <v>42731</v>
      </c>
      <c r="J10" s="33"/>
    </row>
    <row r="11" spans="1:10" ht="12.75">
      <c r="A11" s="125"/>
      <c r="B11" s="105"/>
      <c r="C11" s="105"/>
      <c r="D11" s="105"/>
      <c r="E11" s="105"/>
      <c r="F11" s="105"/>
      <c r="G11" s="105"/>
      <c r="H11" s="105"/>
      <c r="I11" s="127"/>
      <c r="J11" s="33"/>
    </row>
    <row r="12" spans="1:9" ht="23.25" customHeight="1">
      <c r="A12" s="121" t="s">
        <v>148</v>
      </c>
      <c r="B12" s="122"/>
      <c r="C12" s="122"/>
      <c r="D12" s="122"/>
      <c r="E12" s="122"/>
      <c r="F12" s="122"/>
      <c r="G12" s="122"/>
      <c r="H12" s="122"/>
      <c r="I12" s="122"/>
    </row>
    <row r="13" spans="1:10" ht="26.25" customHeight="1">
      <c r="A13" s="49" t="s">
        <v>149</v>
      </c>
      <c r="B13" s="123" t="s">
        <v>161</v>
      </c>
      <c r="C13" s="124"/>
      <c r="D13" s="49" t="s">
        <v>164</v>
      </c>
      <c r="E13" s="123" t="s">
        <v>173</v>
      </c>
      <c r="F13" s="124"/>
      <c r="G13" s="49" t="s">
        <v>174</v>
      </c>
      <c r="H13" s="123" t="s">
        <v>191</v>
      </c>
      <c r="I13" s="124"/>
      <c r="J13" s="33"/>
    </row>
    <row r="14" spans="1:10" ht="15" customHeight="1">
      <c r="A14" s="50" t="s">
        <v>150</v>
      </c>
      <c r="B14" s="54" t="s">
        <v>162</v>
      </c>
      <c r="C14" s="58">
        <f>SUM('Stavební rozpočet'!R12:R65)</f>
        <v>0</v>
      </c>
      <c r="D14" s="119" t="s">
        <v>165</v>
      </c>
      <c r="E14" s="120"/>
      <c r="F14" s="58">
        <v>0</v>
      </c>
      <c r="G14" s="119" t="s">
        <v>175</v>
      </c>
      <c r="H14" s="120"/>
      <c r="I14" s="58">
        <v>0</v>
      </c>
      <c r="J14" s="33"/>
    </row>
    <row r="15" spans="1:10" ht="15" customHeight="1">
      <c r="A15" s="51"/>
      <c r="B15" s="54" t="s">
        <v>107</v>
      </c>
      <c r="C15" s="58">
        <f>SUM('Stavební rozpočet'!S12:S65)</f>
        <v>0</v>
      </c>
      <c r="D15" s="119" t="s">
        <v>166</v>
      </c>
      <c r="E15" s="120"/>
      <c r="F15" s="58">
        <v>0</v>
      </c>
      <c r="G15" s="119" t="s">
        <v>176</v>
      </c>
      <c r="H15" s="120"/>
      <c r="I15" s="58">
        <v>0</v>
      </c>
      <c r="J15" s="33"/>
    </row>
    <row r="16" spans="1:10" ht="15" customHeight="1">
      <c r="A16" s="50" t="s">
        <v>151</v>
      </c>
      <c r="B16" s="54" t="s">
        <v>162</v>
      </c>
      <c r="C16" s="58">
        <f>SUM('Stavební rozpočet'!T12:T65)</f>
        <v>0</v>
      </c>
      <c r="D16" s="119" t="s">
        <v>167</v>
      </c>
      <c r="E16" s="120"/>
      <c r="F16" s="58">
        <v>0</v>
      </c>
      <c r="G16" s="119" t="s">
        <v>177</v>
      </c>
      <c r="H16" s="120"/>
      <c r="I16" s="58">
        <v>0</v>
      </c>
      <c r="J16" s="33"/>
    </row>
    <row r="17" spans="1:10" ht="15" customHeight="1">
      <c r="A17" s="51"/>
      <c r="B17" s="54" t="s">
        <v>107</v>
      </c>
      <c r="C17" s="58">
        <f>SUM('Stavební rozpočet'!U12:U65)</f>
        <v>0</v>
      </c>
      <c r="D17" s="119"/>
      <c r="E17" s="120"/>
      <c r="F17" s="59"/>
      <c r="G17" s="119" t="s">
        <v>178</v>
      </c>
      <c r="H17" s="120"/>
      <c r="I17" s="58">
        <v>0</v>
      </c>
      <c r="J17" s="33"/>
    </row>
    <row r="18" spans="1:10" ht="15" customHeight="1">
      <c r="A18" s="50" t="s">
        <v>152</v>
      </c>
      <c r="B18" s="54" t="s">
        <v>162</v>
      </c>
      <c r="C18" s="58">
        <f>SUM('Stavební rozpočet'!V12:V65)</f>
        <v>0</v>
      </c>
      <c r="D18" s="119"/>
      <c r="E18" s="120"/>
      <c r="F18" s="59"/>
      <c r="G18" s="119" t="s">
        <v>179</v>
      </c>
      <c r="H18" s="120"/>
      <c r="I18" s="58">
        <v>0</v>
      </c>
      <c r="J18" s="33"/>
    </row>
    <row r="19" spans="1:10" ht="15" customHeight="1">
      <c r="A19" s="51"/>
      <c r="B19" s="54" t="s">
        <v>107</v>
      </c>
      <c r="C19" s="58">
        <f>SUM('Stavební rozpočet'!W12:W65)</f>
        <v>0</v>
      </c>
      <c r="D19" s="119"/>
      <c r="E19" s="120"/>
      <c r="F19" s="59"/>
      <c r="G19" s="119" t="s">
        <v>180</v>
      </c>
      <c r="H19" s="120"/>
      <c r="I19" s="58">
        <v>0</v>
      </c>
      <c r="J19" s="33"/>
    </row>
    <row r="20" spans="1:10" ht="15" customHeight="1">
      <c r="A20" s="117" t="s">
        <v>153</v>
      </c>
      <c r="B20" s="118"/>
      <c r="C20" s="58">
        <f>SUM('Stavební rozpočet'!X12:X65)</f>
        <v>0</v>
      </c>
      <c r="D20" s="119"/>
      <c r="E20" s="120"/>
      <c r="F20" s="59"/>
      <c r="G20" s="119"/>
      <c r="H20" s="120"/>
      <c r="I20" s="59"/>
      <c r="J20" s="33"/>
    </row>
    <row r="21" spans="1:10" ht="15" customHeight="1">
      <c r="A21" s="117" t="s">
        <v>154</v>
      </c>
      <c r="B21" s="118"/>
      <c r="C21" s="58">
        <f>SUM('Stavební rozpočet'!P12:P65)</f>
        <v>0</v>
      </c>
      <c r="D21" s="119"/>
      <c r="E21" s="120"/>
      <c r="F21" s="59"/>
      <c r="G21" s="119"/>
      <c r="H21" s="120"/>
      <c r="I21" s="59"/>
      <c r="J21" s="33"/>
    </row>
    <row r="22" spans="1:10" ht="16.5" customHeight="1">
      <c r="A22" s="117" t="s">
        <v>155</v>
      </c>
      <c r="B22" s="118"/>
      <c r="C22" s="58">
        <f>SUM(C14:C21)</f>
        <v>0</v>
      </c>
      <c r="D22" s="117" t="s">
        <v>168</v>
      </c>
      <c r="E22" s="118"/>
      <c r="F22" s="58">
        <f>SUM(F14:F21)</f>
        <v>0</v>
      </c>
      <c r="G22" s="117" t="s">
        <v>181</v>
      </c>
      <c r="H22" s="118"/>
      <c r="I22" s="58">
        <f>SUM(I14:I21)</f>
        <v>0</v>
      </c>
      <c r="J22" s="33"/>
    </row>
    <row r="23" spans="1:10" ht="15" customHeight="1">
      <c r="A23" s="8"/>
      <c r="B23" s="8"/>
      <c r="C23" s="56"/>
      <c r="D23" s="117" t="s">
        <v>169</v>
      </c>
      <c r="E23" s="118"/>
      <c r="F23" s="58">
        <f>'Krycí list objektu (01)'!F22+'Krycí list objektu (02)'!F22+'Krycí list objektu (03)'!F22</f>
        <v>0</v>
      </c>
      <c r="G23" s="117" t="s">
        <v>182</v>
      </c>
      <c r="H23" s="118"/>
      <c r="I23" s="58">
        <f>'Krycí list objektu (01)'!I22+'Krycí list objektu (02)'!I22+'Krycí list objektu (03)'!I22</f>
        <v>0</v>
      </c>
      <c r="J23" s="33"/>
    </row>
    <row r="24" spans="4:9" ht="15" customHeight="1">
      <c r="D24" s="8"/>
      <c r="E24" s="8"/>
      <c r="F24" s="56"/>
      <c r="G24" s="117" t="s">
        <v>183</v>
      </c>
      <c r="H24" s="118"/>
      <c r="I24" s="61"/>
    </row>
    <row r="25" spans="6:10" ht="15" customHeight="1">
      <c r="F25" s="60"/>
      <c r="G25" s="117" t="s">
        <v>184</v>
      </c>
      <c r="H25" s="118"/>
      <c r="I25" s="58">
        <f>'Krycí list objektu (01)'!I23+'Krycí list objektu (02)'!I23+'Krycí list objektu (03)'!I23</f>
        <v>0</v>
      </c>
      <c r="J25" s="33"/>
    </row>
    <row r="26" spans="1:9" ht="12.75">
      <c r="A26" s="48"/>
      <c r="B26" s="48"/>
      <c r="C26" s="48"/>
      <c r="G26" s="8"/>
      <c r="H26" s="8"/>
      <c r="I26" s="8"/>
    </row>
    <row r="27" spans="1:9" ht="15" customHeight="1">
      <c r="A27" s="112" t="s">
        <v>156</v>
      </c>
      <c r="B27" s="113"/>
      <c r="C27" s="62">
        <f>SUM('Stavební rozpočet'!Z12:Z65)</f>
        <v>0</v>
      </c>
      <c r="D27" s="57"/>
      <c r="E27" s="48"/>
      <c r="F27" s="48"/>
      <c r="G27" s="48"/>
      <c r="H27" s="48"/>
      <c r="I27" s="48"/>
    </row>
    <row r="28" spans="1:10" ht="15" customHeight="1">
      <c r="A28" s="112" t="s">
        <v>157</v>
      </c>
      <c r="B28" s="113"/>
      <c r="C28" s="62">
        <f>SUM('Stavební rozpočet'!AA12:AA65)</f>
        <v>0</v>
      </c>
      <c r="D28" s="112" t="s">
        <v>170</v>
      </c>
      <c r="E28" s="113"/>
      <c r="F28" s="62">
        <f>ROUND(C28*(15/100),2)</f>
        <v>0</v>
      </c>
      <c r="G28" s="112" t="s">
        <v>185</v>
      </c>
      <c r="H28" s="113"/>
      <c r="I28" s="62">
        <f>SUM(C27:C29)</f>
        <v>0</v>
      </c>
      <c r="J28" s="33"/>
    </row>
    <row r="29" spans="1:10" ht="15" customHeight="1">
      <c r="A29" s="112" t="s">
        <v>158</v>
      </c>
      <c r="B29" s="113"/>
      <c r="C29" s="62">
        <f>SUM('Stavební rozpočet'!AB12:AB65)+(F22+I22+F23+I23+I24+I25)</f>
        <v>0</v>
      </c>
      <c r="D29" s="112" t="s">
        <v>171</v>
      </c>
      <c r="E29" s="113"/>
      <c r="F29" s="62">
        <f>ROUND(C29*(21/100),2)</f>
        <v>0</v>
      </c>
      <c r="G29" s="112" t="s">
        <v>186</v>
      </c>
      <c r="H29" s="113"/>
      <c r="I29" s="62">
        <f>SUM(F28:F29)+I28</f>
        <v>0</v>
      </c>
      <c r="J29" s="33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25" customHeight="1">
      <c r="A31" s="114" t="s">
        <v>159</v>
      </c>
      <c r="B31" s="115"/>
      <c r="C31" s="116"/>
      <c r="D31" s="114" t="s">
        <v>172</v>
      </c>
      <c r="E31" s="115"/>
      <c r="F31" s="116"/>
      <c r="G31" s="114" t="s">
        <v>187</v>
      </c>
      <c r="H31" s="115"/>
      <c r="I31" s="116"/>
      <c r="J31" s="34"/>
    </row>
    <row r="32" spans="1:10" ht="14.25" customHeight="1">
      <c r="A32" s="106"/>
      <c r="B32" s="107"/>
      <c r="C32" s="108"/>
      <c r="D32" s="106"/>
      <c r="E32" s="107"/>
      <c r="F32" s="108"/>
      <c r="G32" s="106"/>
      <c r="H32" s="107"/>
      <c r="I32" s="108"/>
      <c r="J32" s="34"/>
    </row>
    <row r="33" spans="1:10" ht="14.25" customHeight="1">
      <c r="A33" s="106"/>
      <c r="B33" s="107"/>
      <c r="C33" s="108"/>
      <c r="D33" s="106"/>
      <c r="E33" s="107"/>
      <c r="F33" s="108"/>
      <c r="G33" s="106"/>
      <c r="H33" s="107"/>
      <c r="I33" s="108"/>
      <c r="J33" s="34"/>
    </row>
    <row r="34" spans="1:10" ht="14.25" customHeight="1">
      <c r="A34" s="106"/>
      <c r="B34" s="107"/>
      <c r="C34" s="108"/>
      <c r="D34" s="106"/>
      <c r="E34" s="107"/>
      <c r="F34" s="108"/>
      <c r="G34" s="106"/>
      <c r="H34" s="107"/>
      <c r="I34" s="108"/>
      <c r="J34" s="34"/>
    </row>
    <row r="35" spans="1:10" ht="14.25" customHeight="1">
      <c r="A35" s="109" t="s">
        <v>160</v>
      </c>
      <c r="B35" s="110"/>
      <c r="C35" s="111"/>
      <c r="D35" s="109" t="s">
        <v>160</v>
      </c>
      <c r="E35" s="110"/>
      <c r="F35" s="111"/>
      <c r="G35" s="109" t="s">
        <v>160</v>
      </c>
      <c r="H35" s="110"/>
      <c r="I35" s="111"/>
      <c r="J35" s="34"/>
    </row>
    <row r="36" spans="1:9" ht="11.25" customHeight="1">
      <c r="A36" s="53" t="s">
        <v>34</v>
      </c>
      <c r="B36" s="55"/>
      <c r="C36" s="55"/>
      <c r="D36" s="55"/>
      <c r="E36" s="55"/>
      <c r="F36" s="55"/>
      <c r="G36" s="55"/>
      <c r="H36" s="55"/>
      <c r="I36" s="55"/>
    </row>
    <row r="37" spans="1:9" ht="409.5" customHeight="1" hidden="1">
      <c r="A37" s="70"/>
      <c r="B37" s="71"/>
      <c r="C37" s="71"/>
      <c r="D37" s="71"/>
      <c r="E37" s="71"/>
      <c r="F37" s="71"/>
      <c r="G37" s="71"/>
      <c r="H37" s="71"/>
      <c r="I37" s="71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1:B21"/>
    <mergeCell ref="D21:E21"/>
    <mergeCell ref="G21:H21"/>
    <mergeCell ref="A22:B22"/>
    <mergeCell ref="D22:E22"/>
    <mergeCell ref="G22:H22"/>
    <mergeCell ref="A27:B27"/>
    <mergeCell ref="A28:B28"/>
    <mergeCell ref="D28:E28"/>
    <mergeCell ref="G28:H28"/>
    <mergeCell ref="D23:E23"/>
    <mergeCell ref="G23:H23"/>
    <mergeCell ref="G24:H24"/>
    <mergeCell ref="G25:H25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4"/>
      <c r="B1" s="48"/>
      <c r="C1" s="129" t="s">
        <v>192</v>
      </c>
      <c r="D1" s="130"/>
      <c r="E1" s="130"/>
      <c r="F1" s="130"/>
      <c r="G1" s="130"/>
      <c r="H1" s="130"/>
      <c r="I1" s="130"/>
    </row>
    <row r="2" spans="1:10" ht="12.75">
      <c r="A2" s="95" t="s">
        <v>1</v>
      </c>
      <c r="B2" s="96"/>
      <c r="C2" s="97" t="s">
        <v>58</v>
      </c>
      <c r="D2" s="77"/>
      <c r="E2" s="100" t="s">
        <v>103</v>
      </c>
      <c r="F2" s="100"/>
      <c r="G2" s="96"/>
      <c r="H2" s="100" t="s">
        <v>188</v>
      </c>
      <c r="I2" s="131"/>
      <c r="J2" s="33"/>
    </row>
    <row r="3" spans="1:10" ht="12.75">
      <c r="A3" s="92"/>
      <c r="B3" s="71"/>
      <c r="C3" s="98"/>
      <c r="D3" s="98"/>
      <c r="E3" s="71"/>
      <c r="F3" s="71"/>
      <c r="G3" s="71"/>
      <c r="H3" s="71"/>
      <c r="I3" s="90"/>
      <c r="J3" s="33"/>
    </row>
    <row r="4" spans="1:10" ht="12.75">
      <c r="A4" s="85" t="s">
        <v>2</v>
      </c>
      <c r="B4" s="71"/>
      <c r="C4" s="70" t="s">
        <v>59</v>
      </c>
      <c r="D4" s="71"/>
      <c r="E4" s="70" t="s">
        <v>104</v>
      </c>
      <c r="F4" s="70"/>
      <c r="G4" s="71"/>
      <c r="H4" s="70" t="s">
        <v>188</v>
      </c>
      <c r="I4" s="128"/>
      <c r="J4" s="33"/>
    </row>
    <row r="5" spans="1:10" ht="12.75">
      <c r="A5" s="92"/>
      <c r="B5" s="71"/>
      <c r="C5" s="71"/>
      <c r="D5" s="71"/>
      <c r="E5" s="71"/>
      <c r="F5" s="71"/>
      <c r="G5" s="71"/>
      <c r="H5" s="71"/>
      <c r="I5" s="90"/>
      <c r="J5" s="33"/>
    </row>
    <row r="6" spans="1:10" ht="12.75">
      <c r="A6" s="85" t="s">
        <v>3</v>
      </c>
      <c r="B6" s="71"/>
      <c r="C6" s="70" t="s">
        <v>60</v>
      </c>
      <c r="D6" s="71"/>
      <c r="E6" s="70" t="s">
        <v>105</v>
      </c>
      <c r="F6" s="70"/>
      <c r="G6" s="71"/>
      <c r="H6" s="70" t="s">
        <v>188</v>
      </c>
      <c r="I6" s="128"/>
      <c r="J6" s="33"/>
    </row>
    <row r="7" spans="1:10" ht="12.75">
      <c r="A7" s="92"/>
      <c r="B7" s="71"/>
      <c r="C7" s="71"/>
      <c r="D7" s="71"/>
      <c r="E7" s="71"/>
      <c r="F7" s="71"/>
      <c r="G7" s="71"/>
      <c r="H7" s="71"/>
      <c r="I7" s="90"/>
      <c r="J7" s="33"/>
    </row>
    <row r="8" spans="1:10" ht="12.75">
      <c r="A8" s="85" t="s">
        <v>89</v>
      </c>
      <c r="B8" s="71"/>
      <c r="C8" s="88" t="s">
        <v>6</v>
      </c>
      <c r="D8" s="71"/>
      <c r="E8" s="70" t="s">
        <v>90</v>
      </c>
      <c r="F8" s="71"/>
      <c r="G8" s="71"/>
      <c r="H8" s="88" t="s">
        <v>189</v>
      </c>
      <c r="I8" s="128" t="s">
        <v>16</v>
      </c>
      <c r="J8" s="33"/>
    </row>
    <row r="9" spans="1:10" ht="12.75">
      <c r="A9" s="92"/>
      <c r="B9" s="71"/>
      <c r="C9" s="71"/>
      <c r="D9" s="71"/>
      <c r="E9" s="71"/>
      <c r="F9" s="71"/>
      <c r="G9" s="71"/>
      <c r="H9" s="71"/>
      <c r="I9" s="90"/>
      <c r="J9" s="33"/>
    </row>
    <row r="10" spans="1:10" ht="12.75">
      <c r="A10" s="85" t="s">
        <v>4</v>
      </c>
      <c r="B10" s="71"/>
      <c r="C10" s="70">
        <v>8222772</v>
      </c>
      <c r="D10" s="71"/>
      <c r="E10" s="70" t="s">
        <v>106</v>
      </c>
      <c r="F10" s="70" t="s">
        <v>108</v>
      </c>
      <c r="G10" s="71"/>
      <c r="H10" s="88" t="s">
        <v>190</v>
      </c>
      <c r="I10" s="126">
        <v>42731</v>
      </c>
      <c r="J10" s="33"/>
    </row>
    <row r="11" spans="1:10" ht="12.75">
      <c r="A11" s="125"/>
      <c r="B11" s="105"/>
      <c r="C11" s="105"/>
      <c r="D11" s="105"/>
      <c r="E11" s="105"/>
      <c r="F11" s="105"/>
      <c r="G11" s="105"/>
      <c r="H11" s="105"/>
      <c r="I11" s="127"/>
      <c r="J11" s="33"/>
    </row>
    <row r="12" spans="1:9" ht="23.25" customHeight="1">
      <c r="A12" s="121" t="s">
        <v>148</v>
      </c>
      <c r="B12" s="122"/>
      <c r="C12" s="122"/>
      <c r="D12" s="122"/>
      <c r="E12" s="122"/>
      <c r="F12" s="122"/>
      <c r="G12" s="122"/>
      <c r="H12" s="122"/>
      <c r="I12" s="122"/>
    </row>
    <row r="13" spans="1:10" ht="26.25" customHeight="1">
      <c r="A13" s="49" t="s">
        <v>149</v>
      </c>
      <c r="B13" s="123" t="s">
        <v>161</v>
      </c>
      <c r="C13" s="124"/>
      <c r="D13" s="49" t="s">
        <v>164</v>
      </c>
      <c r="E13" s="123" t="s">
        <v>173</v>
      </c>
      <c r="F13" s="124"/>
      <c r="G13" s="49" t="s">
        <v>174</v>
      </c>
      <c r="H13" s="123" t="s">
        <v>191</v>
      </c>
      <c r="I13" s="124"/>
      <c r="J13" s="33"/>
    </row>
    <row r="14" spans="1:10" ht="15" customHeight="1">
      <c r="A14" s="50" t="s">
        <v>150</v>
      </c>
      <c r="B14" s="54" t="s">
        <v>162</v>
      </c>
      <c r="C14" s="58">
        <f>SUMIF('Stavební rozpočet'!Y12:Y65,"01",'Stavební rozpočet'!R12:R65)</f>
        <v>0</v>
      </c>
      <c r="D14" s="119" t="s">
        <v>165</v>
      </c>
      <c r="E14" s="120"/>
      <c r="F14" s="58">
        <v>0</v>
      </c>
      <c r="G14" s="119" t="s">
        <v>175</v>
      </c>
      <c r="H14" s="120"/>
      <c r="I14" s="58">
        <v>0</v>
      </c>
      <c r="J14" s="33"/>
    </row>
    <row r="15" spans="1:10" ht="15" customHeight="1">
      <c r="A15" s="51"/>
      <c r="B15" s="54" t="s">
        <v>107</v>
      </c>
      <c r="C15" s="58">
        <f>SUMIF('Stavební rozpočet'!Y12:Y65,"01",'Stavební rozpočet'!S12:S65)</f>
        <v>0</v>
      </c>
      <c r="D15" s="119" t="s">
        <v>166</v>
      </c>
      <c r="E15" s="120"/>
      <c r="F15" s="58">
        <v>0</v>
      </c>
      <c r="G15" s="119" t="s">
        <v>176</v>
      </c>
      <c r="H15" s="120"/>
      <c r="I15" s="58">
        <v>0</v>
      </c>
      <c r="J15" s="33"/>
    </row>
    <row r="16" spans="1:10" ht="15" customHeight="1">
      <c r="A16" s="50" t="s">
        <v>151</v>
      </c>
      <c r="B16" s="54" t="s">
        <v>162</v>
      </c>
      <c r="C16" s="58">
        <f>SUMIF('Stavební rozpočet'!Y12:Y65,"01",'Stavební rozpočet'!T12:T65)</f>
        <v>0</v>
      </c>
      <c r="D16" s="119" t="s">
        <v>167</v>
      </c>
      <c r="E16" s="120"/>
      <c r="F16" s="58">
        <v>0</v>
      </c>
      <c r="G16" s="119" t="s">
        <v>177</v>
      </c>
      <c r="H16" s="120"/>
      <c r="I16" s="58">
        <v>0</v>
      </c>
      <c r="J16" s="33"/>
    </row>
    <row r="17" spans="1:10" ht="15" customHeight="1">
      <c r="A17" s="51"/>
      <c r="B17" s="54" t="s">
        <v>107</v>
      </c>
      <c r="C17" s="58">
        <f>SUMIF('Stavební rozpočet'!Y12:Y65,"01",'Stavební rozpočet'!U12:U65)</f>
        <v>0</v>
      </c>
      <c r="D17" s="119"/>
      <c r="E17" s="120"/>
      <c r="F17" s="59"/>
      <c r="G17" s="119" t="s">
        <v>178</v>
      </c>
      <c r="H17" s="120"/>
      <c r="I17" s="58">
        <v>0</v>
      </c>
      <c r="J17" s="33"/>
    </row>
    <row r="18" spans="1:10" ht="15" customHeight="1">
      <c r="A18" s="50" t="s">
        <v>152</v>
      </c>
      <c r="B18" s="54" t="s">
        <v>162</v>
      </c>
      <c r="C18" s="58">
        <f>SUMIF('Stavební rozpočet'!Y12:Y65,"01",'Stavební rozpočet'!V12:V65)</f>
        <v>0</v>
      </c>
      <c r="D18" s="119"/>
      <c r="E18" s="120"/>
      <c r="F18" s="59"/>
      <c r="G18" s="119" t="s">
        <v>179</v>
      </c>
      <c r="H18" s="120"/>
      <c r="I18" s="58">
        <v>0</v>
      </c>
      <c r="J18" s="33"/>
    </row>
    <row r="19" spans="1:10" ht="15" customHeight="1">
      <c r="A19" s="51"/>
      <c r="B19" s="54" t="s">
        <v>107</v>
      </c>
      <c r="C19" s="58">
        <f>SUMIF('Stavební rozpočet'!Y12:Y65,"01",'Stavební rozpočet'!W12:W65)</f>
        <v>0</v>
      </c>
      <c r="D19" s="119"/>
      <c r="E19" s="120"/>
      <c r="F19" s="59"/>
      <c r="G19" s="119" t="s">
        <v>180</v>
      </c>
      <c r="H19" s="120"/>
      <c r="I19" s="58">
        <v>0</v>
      </c>
      <c r="J19" s="33"/>
    </row>
    <row r="20" spans="1:10" ht="15" customHeight="1">
      <c r="A20" s="117" t="s">
        <v>153</v>
      </c>
      <c r="B20" s="118"/>
      <c r="C20" s="58">
        <f>SUMIF('Stavební rozpočet'!Y12:Y65,"01",'Stavební rozpočet'!X12:X65)</f>
        <v>0</v>
      </c>
      <c r="D20" s="119"/>
      <c r="E20" s="120"/>
      <c r="F20" s="59"/>
      <c r="G20" s="119"/>
      <c r="H20" s="120"/>
      <c r="I20" s="59"/>
      <c r="J20" s="33"/>
    </row>
    <row r="21" spans="1:10" ht="15" customHeight="1">
      <c r="A21" s="117" t="s">
        <v>154</v>
      </c>
      <c r="B21" s="118"/>
      <c r="C21" s="58">
        <f>SUMIF('Stavební rozpočet'!Y12:Y65,"01",'Stavební rozpočet'!P12:P65)</f>
        <v>0</v>
      </c>
      <c r="D21" s="119"/>
      <c r="E21" s="120"/>
      <c r="F21" s="59"/>
      <c r="G21" s="119"/>
      <c r="H21" s="120"/>
      <c r="I21" s="59"/>
      <c r="J21" s="33"/>
    </row>
    <row r="22" spans="1:10" ht="16.5" customHeight="1">
      <c r="A22" s="117" t="s">
        <v>155</v>
      </c>
      <c r="B22" s="118"/>
      <c r="C22" s="58">
        <f>SUM(C14:C21)</f>
        <v>0</v>
      </c>
      <c r="D22" s="117" t="s">
        <v>168</v>
      </c>
      <c r="E22" s="118"/>
      <c r="F22" s="58">
        <f>SUM(F14:F21)</f>
        <v>0</v>
      </c>
      <c r="G22" s="117" t="s">
        <v>181</v>
      </c>
      <c r="H22" s="118"/>
      <c r="I22" s="58">
        <f>SUM(I14:I21)</f>
        <v>0</v>
      </c>
      <c r="J22" s="33"/>
    </row>
    <row r="23" spans="1:9" ht="15" customHeight="1">
      <c r="A23" s="8"/>
      <c r="B23" s="8"/>
      <c r="C23" s="8"/>
      <c r="D23" s="8"/>
      <c r="E23" s="8"/>
      <c r="F23" s="56"/>
      <c r="G23" s="117" t="s">
        <v>183</v>
      </c>
      <c r="H23" s="118"/>
      <c r="I23" s="63"/>
    </row>
    <row r="24" spans="1:8" ht="12.75">
      <c r="A24" s="48"/>
      <c r="B24" s="48"/>
      <c r="C24" s="48"/>
      <c r="G24" s="8"/>
      <c r="H24" s="8"/>
    </row>
    <row r="25" spans="1:9" ht="15" customHeight="1">
      <c r="A25" s="112" t="s">
        <v>156</v>
      </c>
      <c r="B25" s="113"/>
      <c r="C25" s="62">
        <f>('Stavební rozpočet'!AI13+'Stavební rozpočet'!AI16+'Stavební rozpočet'!AI18+'Stavební rozpočet'!AI20+'Stavební rozpočet'!AI25+'Stavební rozpočet'!AI27)</f>
        <v>0</v>
      </c>
      <c r="D25" s="57"/>
      <c r="E25" s="48"/>
      <c r="F25" s="48"/>
      <c r="G25" s="48"/>
      <c r="H25" s="48"/>
      <c r="I25" s="48"/>
    </row>
    <row r="26" spans="1:10" ht="15" customHeight="1">
      <c r="A26" s="112" t="s">
        <v>157</v>
      </c>
      <c r="B26" s="113"/>
      <c r="C26" s="62">
        <f>('Stavební rozpočet'!AJ13+'Stavební rozpočet'!AJ16+'Stavební rozpočet'!AJ18+'Stavební rozpočet'!AJ20+'Stavební rozpočet'!AJ25+'Stavební rozpočet'!AJ27)</f>
        <v>0</v>
      </c>
      <c r="D26" s="112" t="s">
        <v>170</v>
      </c>
      <c r="E26" s="113"/>
      <c r="F26" s="62">
        <f>ROUND(C26*(15/100),2)</f>
        <v>0</v>
      </c>
      <c r="G26" s="112" t="s">
        <v>185</v>
      </c>
      <c r="H26" s="113"/>
      <c r="I26" s="62">
        <f>SUM(C25:C27)</f>
        <v>0</v>
      </c>
      <c r="J26" s="33"/>
    </row>
    <row r="27" spans="1:10" ht="15" customHeight="1">
      <c r="A27" s="112" t="s">
        <v>158</v>
      </c>
      <c r="B27" s="113"/>
      <c r="C27" s="62">
        <f>('Stavební rozpočet'!AK13+'Stavební rozpočet'!AK16+'Stavební rozpočet'!AK18+'Stavební rozpočet'!AK20+'Stavební rozpočet'!AK25+'Stavební rozpočet'!AK27)+(F22+I22+F23+I23+I24)</f>
        <v>0</v>
      </c>
      <c r="D27" s="112" t="s">
        <v>171</v>
      </c>
      <c r="E27" s="113"/>
      <c r="F27" s="62">
        <f>ROUND(C27*(21/100),2)</f>
        <v>0</v>
      </c>
      <c r="G27" s="112" t="s">
        <v>186</v>
      </c>
      <c r="H27" s="113"/>
      <c r="I27" s="62">
        <f>SUM(F26:F27)+I26</f>
        <v>0</v>
      </c>
      <c r="J27" s="33"/>
    </row>
    <row r="28" spans="1:9" ht="12.75">
      <c r="A28" s="52"/>
      <c r="B28" s="52"/>
      <c r="C28" s="52"/>
      <c r="D28" s="52"/>
      <c r="E28" s="52"/>
      <c r="F28" s="52"/>
      <c r="G28" s="52"/>
      <c r="H28" s="52"/>
      <c r="I28" s="52"/>
    </row>
    <row r="29" spans="1:10" ht="14.25" customHeight="1">
      <c r="A29" s="114" t="s">
        <v>159</v>
      </c>
      <c r="B29" s="115"/>
      <c r="C29" s="116"/>
      <c r="D29" s="114" t="s">
        <v>172</v>
      </c>
      <c r="E29" s="115"/>
      <c r="F29" s="116"/>
      <c r="G29" s="114" t="s">
        <v>187</v>
      </c>
      <c r="H29" s="115"/>
      <c r="I29" s="116"/>
      <c r="J29" s="34"/>
    </row>
    <row r="30" spans="1:10" ht="14.25" customHeight="1">
      <c r="A30" s="106"/>
      <c r="B30" s="107"/>
      <c r="C30" s="108"/>
      <c r="D30" s="106"/>
      <c r="E30" s="107"/>
      <c r="F30" s="108"/>
      <c r="G30" s="106"/>
      <c r="H30" s="107"/>
      <c r="I30" s="108"/>
      <c r="J30" s="34"/>
    </row>
    <row r="31" spans="1:10" ht="14.25" customHeight="1">
      <c r="A31" s="106"/>
      <c r="B31" s="107"/>
      <c r="C31" s="108"/>
      <c r="D31" s="106"/>
      <c r="E31" s="107"/>
      <c r="F31" s="108"/>
      <c r="G31" s="106"/>
      <c r="H31" s="107"/>
      <c r="I31" s="108"/>
      <c r="J31" s="34"/>
    </row>
    <row r="32" spans="1:10" ht="14.25" customHeight="1">
      <c r="A32" s="106"/>
      <c r="B32" s="107"/>
      <c r="C32" s="108"/>
      <c r="D32" s="106"/>
      <c r="E32" s="107"/>
      <c r="F32" s="108"/>
      <c r="G32" s="106"/>
      <c r="H32" s="107"/>
      <c r="I32" s="108"/>
      <c r="J32" s="34"/>
    </row>
    <row r="33" spans="1:10" ht="14.25" customHeight="1">
      <c r="A33" s="109" t="s">
        <v>160</v>
      </c>
      <c r="B33" s="110"/>
      <c r="C33" s="111"/>
      <c r="D33" s="109" t="s">
        <v>160</v>
      </c>
      <c r="E33" s="110"/>
      <c r="F33" s="111"/>
      <c r="G33" s="109" t="s">
        <v>160</v>
      </c>
      <c r="H33" s="110"/>
      <c r="I33" s="111"/>
      <c r="J33" s="34"/>
    </row>
    <row r="34" spans="1:9" ht="11.25" customHeight="1">
      <c r="A34" s="53" t="s">
        <v>34</v>
      </c>
      <c r="B34" s="55"/>
      <c r="C34" s="55"/>
      <c r="D34" s="55"/>
      <c r="E34" s="55"/>
      <c r="F34" s="55"/>
      <c r="G34" s="55"/>
      <c r="H34" s="55"/>
      <c r="I34" s="55"/>
    </row>
    <row r="35" spans="1:9" ht="409.5" customHeight="1" hidden="1">
      <c r="A35" s="70"/>
      <c r="B35" s="71"/>
      <c r="C35" s="71"/>
      <c r="D35" s="71"/>
      <c r="E35" s="71"/>
      <c r="F35" s="71"/>
      <c r="G35" s="71"/>
      <c r="H35" s="71"/>
      <c r="I35" s="71"/>
    </row>
  </sheetData>
  <sheetProtection/>
  <mergeCells count="80">
    <mergeCell ref="C1:I1"/>
    <mergeCell ref="A2:B3"/>
    <mergeCell ref="C2:D3"/>
    <mergeCell ref="E2:E3"/>
    <mergeCell ref="F2:G3"/>
    <mergeCell ref="H2:H3"/>
    <mergeCell ref="I2:I3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4"/>
      <c r="B1" s="48"/>
      <c r="C1" s="129" t="s">
        <v>193</v>
      </c>
      <c r="D1" s="130"/>
      <c r="E1" s="130"/>
      <c r="F1" s="130"/>
      <c r="G1" s="130"/>
      <c r="H1" s="130"/>
      <c r="I1" s="130"/>
    </row>
    <row r="2" spans="1:10" ht="12.75">
      <c r="A2" s="95" t="s">
        <v>1</v>
      </c>
      <c r="B2" s="96"/>
      <c r="C2" s="97" t="s">
        <v>58</v>
      </c>
      <c r="D2" s="77"/>
      <c r="E2" s="100" t="s">
        <v>103</v>
      </c>
      <c r="F2" s="100"/>
      <c r="G2" s="96"/>
      <c r="H2" s="100" t="s">
        <v>188</v>
      </c>
      <c r="I2" s="131"/>
      <c r="J2" s="33"/>
    </row>
    <row r="3" spans="1:10" ht="12.75">
      <c r="A3" s="92"/>
      <c r="B3" s="71"/>
      <c r="C3" s="98"/>
      <c r="D3" s="98"/>
      <c r="E3" s="71"/>
      <c r="F3" s="71"/>
      <c r="G3" s="71"/>
      <c r="H3" s="71"/>
      <c r="I3" s="90"/>
      <c r="J3" s="33"/>
    </row>
    <row r="4" spans="1:10" ht="12.75">
      <c r="A4" s="85" t="s">
        <v>2</v>
      </c>
      <c r="B4" s="71"/>
      <c r="C4" s="70" t="s">
        <v>59</v>
      </c>
      <c r="D4" s="71"/>
      <c r="E4" s="70" t="s">
        <v>104</v>
      </c>
      <c r="F4" s="70"/>
      <c r="G4" s="71"/>
      <c r="H4" s="70" t="s">
        <v>188</v>
      </c>
      <c r="I4" s="128"/>
      <c r="J4" s="33"/>
    </row>
    <row r="5" spans="1:10" ht="12.75">
      <c r="A5" s="92"/>
      <c r="B5" s="71"/>
      <c r="C5" s="71"/>
      <c r="D5" s="71"/>
      <c r="E5" s="71"/>
      <c r="F5" s="71"/>
      <c r="G5" s="71"/>
      <c r="H5" s="71"/>
      <c r="I5" s="90"/>
      <c r="J5" s="33"/>
    </row>
    <row r="6" spans="1:10" ht="12.75">
      <c r="A6" s="85" t="s">
        <v>3</v>
      </c>
      <c r="B6" s="71"/>
      <c r="C6" s="70" t="s">
        <v>60</v>
      </c>
      <c r="D6" s="71"/>
      <c r="E6" s="70" t="s">
        <v>105</v>
      </c>
      <c r="F6" s="70"/>
      <c r="G6" s="71"/>
      <c r="H6" s="70" t="s">
        <v>188</v>
      </c>
      <c r="I6" s="128"/>
      <c r="J6" s="33"/>
    </row>
    <row r="7" spans="1:10" ht="12.75">
      <c r="A7" s="92"/>
      <c r="B7" s="71"/>
      <c r="C7" s="71"/>
      <c r="D7" s="71"/>
      <c r="E7" s="71"/>
      <c r="F7" s="71"/>
      <c r="G7" s="71"/>
      <c r="H7" s="71"/>
      <c r="I7" s="90"/>
      <c r="J7" s="33"/>
    </row>
    <row r="8" spans="1:10" ht="12.75">
      <c r="A8" s="85" t="s">
        <v>89</v>
      </c>
      <c r="B8" s="71"/>
      <c r="C8" s="88" t="s">
        <v>6</v>
      </c>
      <c r="D8" s="71"/>
      <c r="E8" s="70" t="s">
        <v>90</v>
      </c>
      <c r="F8" s="71"/>
      <c r="G8" s="71"/>
      <c r="H8" s="88" t="s">
        <v>189</v>
      </c>
      <c r="I8" s="128" t="s">
        <v>14</v>
      </c>
      <c r="J8" s="33"/>
    </row>
    <row r="9" spans="1:10" ht="12.75">
      <c r="A9" s="92"/>
      <c r="B9" s="71"/>
      <c r="C9" s="71"/>
      <c r="D9" s="71"/>
      <c r="E9" s="71"/>
      <c r="F9" s="71"/>
      <c r="G9" s="71"/>
      <c r="H9" s="71"/>
      <c r="I9" s="90"/>
      <c r="J9" s="33"/>
    </row>
    <row r="10" spans="1:10" ht="12.75">
      <c r="A10" s="85" t="s">
        <v>4</v>
      </c>
      <c r="B10" s="71"/>
      <c r="C10" s="70">
        <v>8222772</v>
      </c>
      <c r="D10" s="71"/>
      <c r="E10" s="70" t="s">
        <v>106</v>
      </c>
      <c r="F10" s="70" t="s">
        <v>108</v>
      </c>
      <c r="G10" s="71"/>
      <c r="H10" s="88" t="s">
        <v>190</v>
      </c>
      <c r="I10" s="126">
        <v>42731</v>
      </c>
      <c r="J10" s="33"/>
    </row>
    <row r="11" spans="1:10" ht="12.75">
      <c r="A11" s="125"/>
      <c r="B11" s="105"/>
      <c r="C11" s="105"/>
      <c r="D11" s="105"/>
      <c r="E11" s="105"/>
      <c r="F11" s="105"/>
      <c r="G11" s="105"/>
      <c r="H11" s="105"/>
      <c r="I11" s="127"/>
      <c r="J11" s="33"/>
    </row>
    <row r="12" spans="1:9" ht="23.25" customHeight="1">
      <c r="A12" s="121" t="s">
        <v>148</v>
      </c>
      <c r="B12" s="122"/>
      <c r="C12" s="122"/>
      <c r="D12" s="122"/>
      <c r="E12" s="122"/>
      <c r="F12" s="122"/>
      <c r="G12" s="122"/>
      <c r="H12" s="122"/>
      <c r="I12" s="122"/>
    </row>
    <row r="13" spans="1:10" ht="26.25" customHeight="1">
      <c r="A13" s="49" t="s">
        <v>149</v>
      </c>
      <c r="B13" s="123" t="s">
        <v>161</v>
      </c>
      <c r="C13" s="124"/>
      <c r="D13" s="49" t="s">
        <v>164</v>
      </c>
      <c r="E13" s="123" t="s">
        <v>173</v>
      </c>
      <c r="F13" s="124"/>
      <c r="G13" s="49" t="s">
        <v>174</v>
      </c>
      <c r="H13" s="123" t="s">
        <v>191</v>
      </c>
      <c r="I13" s="124"/>
      <c r="J13" s="33"/>
    </row>
    <row r="14" spans="1:10" ht="15" customHeight="1">
      <c r="A14" s="50" t="s">
        <v>150</v>
      </c>
      <c r="B14" s="54" t="s">
        <v>162</v>
      </c>
      <c r="C14" s="58">
        <f>SUMIF('Stavební rozpočet'!Y12:Y65,"02",'Stavební rozpočet'!R12:R65)</f>
        <v>0</v>
      </c>
      <c r="D14" s="119" t="s">
        <v>165</v>
      </c>
      <c r="E14" s="120"/>
      <c r="F14" s="58">
        <v>0</v>
      </c>
      <c r="G14" s="119" t="s">
        <v>175</v>
      </c>
      <c r="H14" s="120"/>
      <c r="I14" s="58">
        <v>0</v>
      </c>
      <c r="J14" s="33"/>
    </row>
    <row r="15" spans="1:10" ht="15" customHeight="1">
      <c r="A15" s="51"/>
      <c r="B15" s="54" t="s">
        <v>107</v>
      </c>
      <c r="C15" s="58">
        <f>SUMIF('Stavební rozpočet'!Y12:Y65,"02",'Stavební rozpočet'!S12:S65)</f>
        <v>0</v>
      </c>
      <c r="D15" s="119" t="s">
        <v>166</v>
      </c>
      <c r="E15" s="120"/>
      <c r="F15" s="58">
        <v>0</v>
      </c>
      <c r="G15" s="119" t="s">
        <v>176</v>
      </c>
      <c r="H15" s="120"/>
      <c r="I15" s="58">
        <v>0</v>
      </c>
      <c r="J15" s="33"/>
    </row>
    <row r="16" spans="1:10" ht="15" customHeight="1">
      <c r="A16" s="50" t="s">
        <v>151</v>
      </c>
      <c r="B16" s="54" t="s">
        <v>162</v>
      </c>
      <c r="C16" s="58">
        <f>SUMIF('Stavební rozpočet'!Y12:Y65,"02",'Stavební rozpočet'!T12:T65)</f>
        <v>0</v>
      </c>
      <c r="D16" s="119" t="s">
        <v>167</v>
      </c>
      <c r="E16" s="120"/>
      <c r="F16" s="58">
        <v>0</v>
      </c>
      <c r="G16" s="119" t="s">
        <v>177</v>
      </c>
      <c r="H16" s="120"/>
      <c r="I16" s="58">
        <v>0</v>
      </c>
      <c r="J16" s="33"/>
    </row>
    <row r="17" spans="1:10" ht="15" customHeight="1">
      <c r="A17" s="51"/>
      <c r="B17" s="54" t="s">
        <v>107</v>
      </c>
      <c r="C17" s="58">
        <f>SUMIF('Stavební rozpočet'!Y12:Y65,"02",'Stavební rozpočet'!U12:U65)</f>
        <v>0</v>
      </c>
      <c r="D17" s="119"/>
      <c r="E17" s="120"/>
      <c r="F17" s="59"/>
      <c r="G17" s="119" t="s">
        <v>178</v>
      </c>
      <c r="H17" s="120"/>
      <c r="I17" s="58">
        <v>0</v>
      </c>
      <c r="J17" s="33"/>
    </row>
    <row r="18" spans="1:10" ht="15" customHeight="1">
      <c r="A18" s="50" t="s">
        <v>152</v>
      </c>
      <c r="B18" s="54" t="s">
        <v>162</v>
      </c>
      <c r="C18" s="58">
        <f>SUMIF('Stavební rozpočet'!Y12:Y65,"02",'Stavební rozpočet'!V12:V65)</f>
        <v>0</v>
      </c>
      <c r="D18" s="119"/>
      <c r="E18" s="120"/>
      <c r="F18" s="59"/>
      <c r="G18" s="119" t="s">
        <v>179</v>
      </c>
      <c r="H18" s="120"/>
      <c r="I18" s="58">
        <v>0</v>
      </c>
      <c r="J18" s="33"/>
    </row>
    <row r="19" spans="1:10" ht="15" customHeight="1">
      <c r="A19" s="51"/>
      <c r="B19" s="54" t="s">
        <v>107</v>
      </c>
      <c r="C19" s="58">
        <f>SUMIF('Stavební rozpočet'!Y12:Y65,"02",'Stavební rozpočet'!W12:W65)</f>
        <v>0</v>
      </c>
      <c r="D19" s="119"/>
      <c r="E19" s="120"/>
      <c r="F19" s="59"/>
      <c r="G19" s="119" t="s">
        <v>180</v>
      </c>
      <c r="H19" s="120"/>
      <c r="I19" s="58">
        <v>0</v>
      </c>
      <c r="J19" s="33"/>
    </row>
    <row r="20" spans="1:10" ht="15" customHeight="1">
      <c r="A20" s="117" t="s">
        <v>153</v>
      </c>
      <c r="B20" s="118"/>
      <c r="C20" s="58">
        <f>SUMIF('Stavební rozpočet'!Y12:Y65,"02",'Stavební rozpočet'!X12:X65)</f>
        <v>0</v>
      </c>
      <c r="D20" s="119"/>
      <c r="E20" s="120"/>
      <c r="F20" s="59"/>
      <c r="G20" s="119"/>
      <c r="H20" s="120"/>
      <c r="I20" s="59"/>
      <c r="J20" s="33"/>
    </row>
    <row r="21" spans="1:10" ht="15" customHeight="1">
      <c r="A21" s="117" t="s">
        <v>154</v>
      </c>
      <c r="B21" s="118"/>
      <c r="C21" s="58">
        <f>SUMIF('Stavební rozpočet'!Y12:Y65,"02",'Stavební rozpočet'!P12:P65)</f>
        <v>0</v>
      </c>
      <c r="D21" s="119"/>
      <c r="E21" s="120"/>
      <c r="F21" s="59"/>
      <c r="G21" s="119"/>
      <c r="H21" s="120"/>
      <c r="I21" s="59"/>
      <c r="J21" s="33"/>
    </row>
    <row r="22" spans="1:10" ht="16.5" customHeight="1">
      <c r="A22" s="117" t="s">
        <v>155</v>
      </c>
      <c r="B22" s="118"/>
      <c r="C22" s="58">
        <f>SUM(C14:C21)</f>
        <v>0</v>
      </c>
      <c r="D22" s="117" t="s">
        <v>168</v>
      </c>
      <c r="E22" s="118"/>
      <c r="F22" s="58">
        <f>SUM(F14:F21)</f>
        <v>0</v>
      </c>
      <c r="G22" s="117" t="s">
        <v>181</v>
      </c>
      <c r="H22" s="118"/>
      <c r="I22" s="58">
        <f>SUM(I14:I21)</f>
        <v>0</v>
      </c>
      <c r="J22" s="33"/>
    </row>
    <row r="23" spans="1:9" ht="15" customHeight="1">
      <c r="A23" s="8"/>
      <c r="B23" s="8"/>
      <c r="C23" s="8"/>
      <c r="D23" s="8"/>
      <c r="E23" s="8"/>
      <c r="F23" s="56"/>
      <c r="G23" s="117" t="s">
        <v>183</v>
      </c>
      <c r="H23" s="118"/>
      <c r="I23" s="63"/>
    </row>
    <row r="24" spans="1:8" ht="12.75">
      <c r="A24" s="48"/>
      <c r="B24" s="48"/>
      <c r="C24" s="48"/>
      <c r="G24" s="8"/>
      <c r="H24" s="8"/>
    </row>
    <row r="25" spans="1:9" ht="15" customHeight="1">
      <c r="A25" s="112" t="s">
        <v>156</v>
      </c>
      <c r="B25" s="113"/>
      <c r="C25" s="62">
        <f>('Stavební rozpočet'!AI32+'Stavební rozpočet'!AI34+'Stavební rozpočet'!AI36+'Stavební rozpočet'!AI38+'Stavební rozpočet'!AI42+'Stavební rozpočet'!AI44)</f>
        <v>0</v>
      </c>
      <c r="D25" s="57"/>
      <c r="E25" s="48"/>
      <c r="F25" s="48"/>
      <c r="G25" s="48"/>
      <c r="H25" s="48"/>
      <c r="I25" s="48"/>
    </row>
    <row r="26" spans="1:10" ht="15" customHeight="1">
      <c r="A26" s="112" t="s">
        <v>157</v>
      </c>
      <c r="B26" s="113"/>
      <c r="C26" s="62">
        <f>('Stavební rozpočet'!AJ32+'Stavební rozpočet'!AJ34+'Stavební rozpočet'!AJ36+'Stavební rozpočet'!AJ38+'Stavební rozpočet'!AJ42+'Stavební rozpočet'!AJ44)</f>
        <v>0</v>
      </c>
      <c r="D26" s="112" t="s">
        <v>170</v>
      </c>
      <c r="E26" s="113"/>
      <c r="F26" s="62">
        <f>ROUND(C26*(15/100),2)</f>
        <v>0</v>
      </c>
      <c r="G26" s="112" t="s">
        <v>185</v>
      </c>
      <c r="H26" s="113"/>
      <c r="I26" s="62">
        <f>SUM(C25:C27)</f>
        <v>0</v>
      </c>
      <c r="J26" s="33"/>
    </row>
    <row r="27" spans="1:10" ht="15" customHeight="1">
      <c r="A27" s="112" t="s">
        <v>158</v>
      </c>
      <c r="B27" s="113"/>
      <c r="C27" s="62">
        <f>('Stavební rozpočet'!AK32+'Stavební rozpočet'!AK34+'Stavební rozpočet'!AK36+'Stavební rozpočet'!AK38+'Stavební rozpočet'!AK42+'Stavební rozpočet'!AK44)+(F22+I22+F23+I23+I24)</f>
        <v>0</v>
      </c>
      <c r="D27" s="112" t="s">
        <v>171</v>
      </c>
      <c r="E27" s="113"/>
      <c r="F27" s="62">
        <f>ROUND(C27*(21/100),2)</f>
        <v>0</v>
      </c>
      <c r="G27" s="112" t="s">
        <v>186</v>
      </c>
      <c r="H27" s="113"/>
      <c r="I27" s="62">
        <f>SUM(F26:F27)+I26</f>
        <v>0</v>
      </c>
      <c r="J27" s="33"/>
    </row>
    <row r="28" spans="1:9" ht="12.75">
      <c r="A28" s="52"/>
      <c r="B28" s="52"/>
      <c r="C28" s="52"/>
      <c r="D28" s="52"/>
      <c r="E28" s="52"/>
      <c r="F28" s="52"/>
      <c r="G28" s="52"/>
      <c r="H28" s="52"/>
      <c r="I28" s="52"/>
    </row>
    <row r="29" spans="1:10" ht="14.25" customHeight="1">
      <c r="A29" s="114" t="s">
        <v>159</v>
      </c>
      <c r="B29" s="115"/>
      <c r="C29" s="116"/>
      <c r="D29" s="114" t="s">
        <v>172</v>
      </c>
      <c r="E29" s="115"/>
      <c r="F29" s="116"/>
      <c r="G29" s="114" t="s">
        <v>187</v>
      </c>
      <c r="H29" s="115"/>
      <c r="I29" s="116"/>
      <c r="J29" s="34"/>
    </row>
    <row r="30" spans="1:10" ht="14.25" customHeight="1">
      <c r="A30" s="106"/>
      <c r="B30" s="107"/>
      <c r="C30" s="108"/>
      <c r="D30" s="106"/>
      <c r="E30" s="107"/>
      <c r="F30" s="108"/>
      <c r="G30" s="106"/>
      <c r="H30" s="107"/>
      <c r="I30" s="108"/>
      <c r="J30" s="34"/>
    </row>
    <row r="31" spans="1:10" ht="14.25" customHeight="1">
      <c r="A31" s="106"/>
      <c r="B31" s="107"/>
      <c r="C31" s="108"/>
      <c r="D31" s="106"/>
      <c r="E31" s="107"/>
      <c r="F31" s="108"/>
      <c r="G31" s="106"/>
      <c r="H31" s="107"/>
      <c r="I31" s="108"/>
      <c r="J31" s="34"/>
    </row>
    <row r="32" spans="1:10" ht="14.25" customHeight="1">
      <c r="A32" s="106"/>
      <c r="B32" s="107"/>
      <c r="C32" s="108"/>
      <c r="D32" s="106"/>
      <c r="E32" s="107"/>
      <c r="F32" s="108"/>
      <c r="G32" s="106"/>
      <c r="H32" s="107"/>
      <c r="I32" s="108"/>
      <c r="J32" s="34"/>
    </row>
    <row r="33" spans="1:10" ht="14.25" customHeight="1">
      <c r="A33" s="109" t="s">
        <v>160</v>
      </c>
      <c r="B33" s="110"/>
      <c r="C33" s="111"/>
      <c r="D33" s="109" t="s">
        <v>160</v>
      </c>
      <c r="E33" s="110"/>
      <c r="F33" s="111"/>
      <c r="G33" s="109" t="s">
        <v>160</v>
      </c>
      <c r="H33" s="110"/>
      <c r="I33" s="111"/>
      <c r="J33" s="34"/>
    </row>
    <row r="34" spans="1:9" ht="11.25" customHeight="1">
      <c r="A34" s="53" t="s">
        <v>34</v>
      </c>
      <c r="B34" s="55"/>
      <c r="C34" s="55"/>
      <c r="D34" s="55"/>
      <c r="E34" s="55"/>
      <c r="F34" s="55"/>
      <c r="G34" s="55"/>
      <c r="H34" s="55"/>
      <c r="I34" s="55"/>
    </row>
    <row r="35" spans="1:9" ht="409.5" customHeight="1" hidden="1">
      <c r="A35" s="70"/>
      <c r="B35" s="71"/>
      <c r="C35" s="71"/>
      <c r="D35" s="71"/>
      <c r="E35" s="71"/>
      <c r="F35" s="71"/>
      <c r="G35" s="71"/>
      <c r="H35" s="71"/>
      <c r="I35" s="71"/>
    </row>
  </sheetData>
  <sheetProtection/>
  <mergeCells count="80">
    <mergeCell ref="C1:I1"/>
    <mergeCell ref="A2:B3"/>
    <mergeCell ref="C2:D3"/>
    <mergeCell ref="E2:E3"/>
    <mergeCell ref="F2:G3"/>
    <mergeCell ref="H2:H3"/>
    <mergeCell ref="I2:I3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4"/>
      <c r="B1" s="48"/>
      <c r="C1" s="129" t="s">
        <v>194</v>
      </c>
      <c r="D1" s="130"/>
      <c r="E1" s="130"/>
      <c r="F1" s="130"/>
      <c r="G1" s="130"/>
      <c r="H1" s="130"/>
      <c r="I1" s="130"/>
    </row>
    <row r="2" spans="1:10" ht="12.75">
      <c r="A2" s="95" t="s">
        <v>1</v>
      </c>
      <c r="B2" s="96"/>
      <c r="C2" s="97" t="s">
        <v>58</v>
      </c>
      <c r="D2" s="77"/>
      <c r="E2" s="100" t="s">
        <v>103</v>
      </c>
      <c r="F2" s="100"/>
      <c r="G2" s="96"/>
      <c r="H2" s="100" t="s">
        <v>188</v>
      </c>
      <c r="I2" s="131"/>
      <c r="J2" s="33"/>
    </row>
    <row r="3" spans="1:10" ht="12.75">
      <c r="A3" s="92"/>
      <c r="B3" s="71"/>
      <c r="C3" s="98"/>
      <c r="D3" s="98"/>
      <c r="E3" s="71"/>
      <c r="F3" s="71"/>
      <c r="G3" s="71"/>
      <c r="H3" s="71"/>
      <c r="I3" s="90"/>
      <c r="J3" s="33"/>
    </row>
    <row r="4" spans="1:10" ht="12.75">
      <c r="A4" s="85" t="s">
        <v>2</v>
      </c>
      <c r="B4" s="71"/>
      <c r="C4" s="70" t="s">
        <v>59</v>
      </c>
      <c r="D4" s="71"/>
      <c r="E4" s="70" t="s">
        <v>104</v>
      </c>
      <c r="F4" s="70"/>
      <c r="G4" s="71"/>
      <c r="H4" s="70" t="s">
        <v>188</v>
      </c>
      <c r="I4" s="128"/>
      <c r="J4" s="33"/>
    </row>
    <row r="5" spans="1:10" ht="12.75">
      <c r="A5" s="92"/>
      <c r="B5" s="71"/>
      <c r="C5" s="71"/>
      <c r="D5" s="71"/>
      <c r="E5" s="71"/>
      <c r="F5" s="71"/>
      <c r="G5" s="71"/>
      <c r="H5" s="71"/>
      <c r="I5" s="90"/>
      <c r="J5" s="33"/>
    </row>
    <row r="6" spans="1:10" ht="12.75">
      <c r="A6" s="85" t="s">
        <v>3</v>
      </c>
      <c r="B6" s="71"/>
      <c r="C6" s="70" t="s">
        <v>60</v>
      </c>
      <c r="D6" s="71"/>
      <c r="E6" s="70" t="s">
        <v>105</v>
      </c>
      <c r="F6" s="70"/>
      <c r="G6" s="71"/>
      <c r="H6" s="70" t="s">
        <v>188</v>
      </c>
      <c r="I6" s="128"/>
      <c r="J6" s="33"/>
    </row>
    <row r="7" spans="1:10" ht="12.75">
      <c r="A7" s="92"/>
      <c r="B7" s="71"/>
      <c r="C7" s="71"/>
      <c r="D7" s="71"/>
      <c r="E7" s="71"/>
      <c r="F7" s="71"/>
      <c r="G7" s="71"/>
      <c r="H7" s="71"/>
      <c r="I7" s="90"/>
      <c r="J7" s="33"/>
    </row>
    <row r="8" spans="1:10" ht="12.75">
      <c r="A8" s="85" t="s">
        <v>89</v>
      </c>
      <c r="B8" s="71"/>
      <c r="C8" s="88" t="s">
        <v>6</v>
      </c>
      <c r="D8" s="71"/>
      <c r="E8" s="70" t="s">
        <v>90</v>
      </c>
      <c r="F8" s="71"/>
      <c r="G8" s="71"/>
      <c r="H8" s="88" t="s">
        <v>189</v>
      </c>
      <c r="I8" s="128" t="s">
        <v>15</v>
      </c>
      <c r="J8" s="33"/>
    </row>
    <row r="9" spans="1:10" ht="12.75">
      <c r="A9" s="92"/>
      <c r="B9" s="71"/>
      <c r="C9" s="71"/>
      <c r="D9" s="71"/>
      <c r="E9" s="71"/>
      <c r="F9" s="71"/>
      <c r="G9" s="71"/>
      <c r="H9" s="71"/>
      <c r="I9" s="90"/>
      <c r="J9" s="33"/>
    </row>
    <row r="10" spans="1:10" ht="12.75">
      <c r="A10" s="85" t="s">
        <v>4</v>
      </c>
      <c r="B10" s="71"/>
      <c r="C10" s="70">
        <v>8222772</v>
      </c>
      <c r="D10" s="71"/>
      <c r="E10" s="70" t="s">
        <v>106</v>
      </c>
      <c r="F10" s="70" t="s">
        <v>108</v>
      </c>
      <c r="G10" s="71"/>
      <c r="H10" s="88" t="s">
        <v>190</v>
      </c>
      <c r="I10" s="126">
        <v>42731</v>
      </c>
      <c r="J10" s="33"/>
    </row>
    <row r="11" spans="1:10" ht="12.75">
      <c r="A11" s="125"/>
      <c r="B11" s="105"/>
      <c r="C11" s="105"/>
      <c r="D11" s="105"/>
      <c r="E11" s="105"/>
      <c r="F11" s="105"/>
      <c r="G11" s="105"/>
      <c r="H11" s="105"/>
      <c r="I11" s="127"/>
      <c r="J11" s="33"/>
    </row>
    <row r="12" spans="1:9" ht="23.25" customHeight="1">
      <c r="A12" s="121" t="s">
        <v>148</v>
      </c>
      <c r="B12" s="122"/>
      <c r="C12" s="122"/>
      <c r="D12" s="122"/>
      <c r="E12" s="122"/>
      <c r="F12" s="122"/>
      <c r="G12" s="122"/>
      <c r="H12" s="122"/>
      <c r="I12" s="122"/>
    </row>
    <row r="13" spans="1:10" ht="26.25" customHeight="1">
      <c r="A13" s="49" t="s">
        <v>149</v>
      </c>
      <c r="B13" s="123" t="s">
        <v>161</v>
      </c>
      <c r="C13" s="124"/>
      <c r="D13" s="49" t="s">
        <v>164</v>
      </c>
      <c r="E13" s="123" t="s">
        <v>173</v>
      </c>
      <c r="F13" s="124"/>
      <c r="G13" s="49" t="s">
        <v>174</v>
      </c>
      <c r="H13" s="123" t="s">
        <v>191</v>
      </c>
      <c r="I13" s="124"/>
      <c r="J13" s="33"/>
    </row>
    <row r="14" spans="1:10" ht="15" customHeight="1">
      <c r="A14" s="50" t="s">
        <v>150</v>
      </c>
      <c r="B14" s="54" t="s">
        <v>162</v>
      </c>
      <c r="C14" s="58">
        <f>SUMIF('Stavební rozpočet'!Y12:Y65,"03",'Stavební rozpočet'!R12:R65)</f>
        <v>0</v>
      </c>
      <c r="D14" s="119" t="s">
        <v>165</v>
      </c>
      <c r="E14" s="120"/>
      <c r="F14" s="58">
        <v>0</v>
      </c>
      <c r="G14" s="119" t="s">
        <v>175</v>
      </c>
      <c r="H14" s="120"/>
      <c r="I14" s="58">
        <v>0</v>
      </c>
      <c r="J14" s="33"/>
    </row>
    <row r="15" spans="1:10" ht="15" customHeight="1">
      <c r="A15" s="51"/>
      <c r="B15" s="54" t="s">
        <v>107</v>
      </c>
      <c r="C15" s="58">
        <f>SUMIF('Stavební rozpočet'!Y12:Y65,"03",'Stavební rozpočet'!S12:S65)</f>
        <v>0</v>
      </c>
      <c r="D15" s="119" t="s">
        <v>166</v>
      </c>
      <c r="E15" s="120"/>
      <c r="F15" s="58">
        <v>0</v>
      </c>
      <c r="G15" s="119" t="s">
        <v>176</v>
      </c>
      <c r="H15" s="120"/>
      <c r="I15" s="58">
        <v>0</v>
      </c>
      <c r="J15" s="33"/>
    </row>
    <row r="16" spans="1:10" ht="15" customHeight="1">
      <c r="A16" s="50" t="s">
        <v>151</v>
      </c>
      <c r="B16" s="54" t="s">
        <v>162</v>
      </c>
      <c r="C16" s="58">
        <f>SUMIF('Stavební rozpočet'!Y12:Y65,"03",'Stavební rozpočet'!T12:T65)</f>
        <v>0</v>
      </c>
      <c r="D16" s="119" t="s">
        <v>167</v>
      </c>
      <c r="E16" s="120"/>
      <c r="F16" s="58">
        <v>0</v>
      </c>
      <c r="G16" s="119" t="s">
        <v>177</v>
      </c>
      <c r="H16" s="120"/>
      <c r="I16" s="58">
        <v>0</v>
      </c>
      <c r="J16" s="33"/>
    </row>
    <row r="17" spans="1:10" ht="15" customHeight="1">
      <c r="A17" s="51"/>
      <c r="B17" s="54" t="s">
        <v>107</v>
      </c>
      <c r="C17" s="58">
        <f>SUMIF('Stavební rozpočet'!Y12:Y65,"03",'Stavební rozpočet'!U12:U65)</f>
        <v>0</v>
      </c>
      <c r="D17" s="119"/>
      <c r="E17" s="120"/>
      <c r="F17" s="59"/>
      <c r="G17" s="119" t="s">
        <v>178</v>
      </c>
      <c r="H17" s="120"/>
      <c r="I17" s="58">
        <v>0</v>
      </c>
      <c r="J17" s="33"/>
    </row>
    <row r="18" spans="1:10" ht="15" customHeight="1">
      <c r="A18" s="50" t="s">
        <v>152</v>
      </c>
      <c r="B18" s="54" t="s">
        <v>162</v>
      </c>
      <c r="C18" s="58">
        <f>SUMIF('Stavební rozpočet'!Y12:Y65,"03",'Stavební rozpočet'!V12:V65)</f>
        <v>0</v>
      </c>
      <c r="D18" s="119"/>
      <c r="E18" s="120"/>
      <c r="F18" s="59"/>
      <c r="G18" s="119" t="s">
        <v>179</v>
      </c>
      <c r="H18" s="120"/>
      <c r="I18" s="58">
        <v>0</v>
      </c>
      <c r="J18" s="33"/>
    </row>
    <row r="19" spans="1:10" ht="15" customHeight="1">
      <c r="A19" s="51"/>
      <c r="B19" s="54" t="s">
        <v>107</v>
      </c>
      <c r="C19" s="58">
        <f>SUMIF('Stavební rozpočet'!Y12:Y65,"03",'Stavební rozpočet'!W12:W65)</f>
        <v>0</v>
      </c>
      <c r="D19" s="119"/>
      <c r="E19" s="120"/>
      <c r="F19" s="59"/>
      <c r="G19" s="119" t="s">
        <v>180</v>
      </c>
      <c r="H19" s="120"/>
      <c r="I19" s="58">
        <v>0</v>
      </c>
      <c r="J19" s="33"/>
    </row>
    <row r="20" spans="1:10" ht="15" customHeight="1">
      <c r="A20" s="117" t="s">
        <v>153</v>
      </c>
      <c r="B20" s="118"/>
      <c r="C20" s="58">
        <f>SUMIF('Stavební rozpočet'!Y12:Y65,"03",'Stavební rozpočet'!X12:X65)</f>
        <v>0</v>
      </c>
      <c r="D20" s="119"/>
      <c r="E20" s="120"/>
      <c r="F20" s="59"/>
      <c r="G20" s="119"/>
      <c r="H20" s="120"/>
      <c r="I20" s="59"/>
      <c r="J20" s="33"/>
    </row>
    <row r="21" spans="1:10" ht="15" customHeight="1">
      <c r="A21" s="117" t="s">
        <v>154</v>
      </c>
      <c r="B21" s="118"/>
      <c r="C21" s="58">
        <f>SUMIF('Stavební rozpočet'!Y12:Y65,"03",'Stavební rozpočet'!P12:P65)</f>
        <v>0</v>
      </c>
      <c r="D21" s="119"/>
      <c r="E21" s="120"/>
      <c r="F21" s="59"/>
      <c r="G21" s="119"/>
      <c r="H21" s="120"/>
      <c r="I21" s="59"/>
      <c r="J21" s="33"/>
    </row>
    <row r="22" spans="1:10" ht="16.5" customHeight="1">
      <c r="A22" s="117" t="s">
        <v>155</v>
      </c>
      <c r="B22" s="118"/>
      <c r="C22" s="58">
        <f>SUM(C14:C21)</f>
        <v>0</v>
      </c>
      <c r="D22" s="117" t="s">
        <v>168</v>
      </c>
      <c r="E22" s="118"/>
      <c r="F22" s="58">
        <f>SUM(F14:F21)</f>
        <v>0</v>
      </c>
      <c r="G22" s="117" t="s">
        <v>181</v>
      </c>
      <c r="H22" s="118"/>
      <c r="I22" s="58">
        <f>SUM(I14:I21)</f>
        <v>0</v>
      </c>
      <c r="J22" s="33"/>
    </row>
    <row r="23" spans="1:9" ht="15" customHeight="1">
      <c r="A23" s="8"/>
      <c r="B23" s="8"/>
      <c r="C23" s="8"/>
      <c r="D23" s="8"/>
      <c r="E23" s="8"/>
      <c r="F23" s="56"/>
      <c r="G23" s="117" t="s">
        <v>183</v>
      </c>
      <c r="H23" s="118"/>
      <c r="I23" s="63"/>
    </row>
    <row r="24" spans="1:8" ht="12.75">
      <c r="A24" s="48"/>
      <c r="B24" s="48"/>
      <c r="C24" s="48"/>
      <c r="G24" s="8"/>
      <c r="H24" s="8"/>
    </row>
    <row r="25" spans="1:9" ht="15" customHeight="1">
      <c r="A25" s="112" t="s">
        <v>156</v>
      </c>
      <c r="B25" s="113"/>
      <c r="C25" s="62">
        <f>('Stavební rozpočet'!AI48+'Stavební rozpočet'!AI50+'Stavební rozpočet'!AI52+'Stavební rozpočet'!AI54+'Stavební rozpočet'!AI58+'Stavební rozpočet'!AI61+'Stavební rozpočet'!AI63)</f>
        <v>0</v>
      </c>
      <c r="D25" s="57"/>
      <c r="E25" s="48"/>
      <c r="F25" s="48"/>
      <c r="G25" s="48"/>
      <c r="H25" s="48"/>
      <c r="I25" s="48"/>
    </row>
    <row r="26" spans="1:10" ht="15" customHeight="1">
      <c r="A26" s="112" t="s">
        <v>157</v>
      </c>
      <c r="B26" s="113"/>
      <c r="C26" s="62">
        <f>('Stavební rozpočet'!AJ48+'Stavební rozpočet'!AJ50+'Stavební rozpočet'!AJ52+'Stavební rozpočet'!AJ54+'Stavební rozpočet'!AJ58+'Stavební rozpočet'!AJ61+'Stavební rozpočet'!AJ63)</f>
        <v>0</v>
      </c>
      <c r="D26" s="112" t="s">
        <v>170</v>
      </c>
      <c r="E26" s="113"/>
      <c r="F26" s="62">
        <f>ROUND(C26*(15/100),2)</f>
        <v>0</v>
      </c>
      <c r="G26" s="112" t="s">
        <v>185</v>
      </c>
      <c r="H26" s="113"/>
      <c r="I26" s="62">
        <f>SUM(C25:C27)</f>
        <v>0</v>
      </c>
      <c r="J26" s="33"/>
    </row>
    <row r="27" spans="1:10" ht="15" customHeight="1">
      <c r="A27" s="112" t="s">
        <v>158</v>
      </c>
      <c r="B27" s="113"/>
      <c r="C27" s="62">
        <f>('Stavební rozpočet'!AK48+'Stavební rozpočet'!AK50+'Stavební rozpočet'!AK52+'Stavební rozpočet'!AK54+'Stavební rozpočet'!AK58+'Stavební rozpočet'!AK61+'Stavební rozpočet'!AK63)+(F22+I22+F23+I23+I24)</f>
        <v>0</v>
      </c>
      <c r="D27" s="112" t="s">
        <v>171</v>
      </c>
      <c r="E27" s="113"/>
      <c r="F27" s="62">
        <f>ROUND(C27*(21/100),2)</f>
        <v>0</v>
      </c>
      <c r="G27" s="112" t="s">
        <v>186</v>
      </c>
      <c r="H27" s="113"/>
      <c r="I27" s="62">
        <f>SUM(F26:F27)+I26</f>
        <v>0</v>
      </c>
      <c r="J27" s="33"/>
    </row>
    <row r="28" spans="1:9" ht="12.75">
      <c r="A28" s="52"/>
      <c r="B28" s="52"/>
      <c r="C28" s="52"/>
      <c r="D28" s="52"/>
      <c r="E28" s="52"/>
      <c r="F28" s="52"/>
      <c r="G28" s="52"/>
      <c r="H28" s="52"/>
      <c r="I28" s="52"/>
    </row>
    <row r="29" spans="1:10" ht="14.25" customHeight="1">
      <c r="A29" s="114" t="s">
        <v>159</v>
      </c>
      <c r="B29" s="115"/>
      <c r="C29" s="116"/>
      <c r="D29" s="114" t="s">
        <v>172</v>
      </c>
      <c r="E29" s="115"/>
      <c r="F29" s="116"/>
      <c r="G29" s="114" t="s">
        <v>187</v>
      </c>
      <c r="H29" s="115"/>
      <c r="I29" s="116"/>
      <c r="J29" s="34"/>
    </row>
    <row r="30" spans="1:10" ht="14.25" customHeight="1">
      <c r="A30" s="106"/>
      <c r="B30" s="107"/>
      <c r="C30" s="108"/>
      <c r="D30" s="106"/>
      <c r="E30" s="107"/>
      <c r="F30" s="108"/>
      <c r="G30" s="106"/>
      <c r="H30" s="107"/>
      <c r="I30" s="108"/>
      <c r="J30" s="34"/>
    </row>
    <row r="31" spans="1:10" ht="14.25" customHeight="1">
      <c r="A31" s="106"/>
      <c r="B31" s="107"/>
      <c r="C31" s="108"/>
      <c r="D31" s="106"/>
      <c r="E31" s="107"/>
      <c r="F31" s="108"/>
      <c r="G31" s="106"/>
      <c r="H31" s="107"/>
      <c r="I31" s="108"/>
      <c r="J31" s="34"/>
    </row>
    <row r="32" spans="1:10" ht="14.25" customHeight="1">
      <c r="A32" s="106"/>
      <c r="B32" s="107"/>
      <c r="C32" s="108"/>
      <c r="D32" s="106"/>
      <c r="E32" s="107"/>
      <c r="F32" s="108"/>
      <c r="G32" s="106"/>
      <c r="H32" s="107"/>
      <c r="I32" s="108"/>
      <c r="J32" s="34"/>
    </row>
    <row r="33" spans="1:10" ht="14.25" customHeight="1">
      <c r="A33" s="109" t="s">
        <v>160</v>
      </c>
      <c r="B33" s="110"/>
      <c r="C33" s="111"/>
      <c r="D33" s="109" t="s">
        <v>160</v>
      </c>
      <c r="E33" s="110"/>
      <c r="F33" s="111"/>
      <c r="G33" s="109" t="s">
        <v>160</v>
      </c>
      <c r="H33" s="110"/>
      <c r="I33" s="111"/>
      <c r="J33" s="34"/>
    </row>
    <row r="34" spans="1:9" ht="11.25" customHeight="1">
      <c r="A34" s="53" t="s">
        <v>34</v>
      </c>
      <c r="B34" s="55"/>
      <c r="C34" s="55"/>
      <c r="D34" s="55"/>
      <c r="E34" s="55"/>
      <c r="F34" s="55"/>
      <c r="G34" s="55"/>
      <c r="H34" s="55"/>
      <c r="I34" s="55"/>
    </row>
    <row r="35" spans="1:9" ht="409.5" customHeight="1" hidden="1">
      <c r="A35" s="70"/>
      <c r="B35" s="71"/>
      <c r="C35" s="71"/>
      <c r="D35" s="71"/>
      <c r="E35" s="71"/>
      <c r="F35" s="71"/>
      <c r="G35" s="71"/>
      <c r="H35" s="71"/>
      <c r="I35" s="71"/>
    </row>
  </sheetData>
  <sheetProtection/>
  <mergeCells count="80">
    <mergeCell ref="C1:I1"/>
    <mergeCell ref="A2:B3"/>
    <mergeCell ref="C2:D3"/>
    <mergeCell ref="E2:E3"/>
    <mergeCell ref="F2:G3"/>
    <mergeCell ref="H2:H3"/>
    <mergeCell ref="I2:I3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A25:B25"/>
    <mergeCell ref="A26:B26"/>
    <mergeCell ref="D26:E26"/>
    <mergeCell ref="G26:H26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Fadrhonc</dc:creator>
  <cp:keywords/>
  <dc:description/>
  <cp:lastModifiedBy>Daniel Fadrhonc</cp:lastModifiedBy>
  <dcterms:created xsi:type="dcterms:W3CDTF">2016-12-29T19:43:49Z</dcterms:created>
  <dcterms:modified xsi:type="dcterms:W3CDTF">2017-01-11T12:00:24Z</dcterms:modified>
  <cp:category/>
  <cp:version/>
  <cp:contentType/>
  <cp:contentStatus/>
</cp:coreProperties>
</file>