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Krycí list rozpočtu" sheetId="1" r:id="rId1"/>
    <sheet name="Krycí list objektu I. etapa (K)" sheetId="2" r:id="rId2"/>
    <sheet name="Krycí list objektu I. eta (001)" sheetId="3" r:id="rId3"/>
    <sheet name="Krycí list objektu II. etap(CH)" sheetId="4" r:id="rId4"/>
    <sheet name="Stavební rozpočet" sheetId="5" r:id="rId5"/>
  </sheets>
  <definedNames/>
  <calcPr fullCalcOnLoad="1"/>
</workbook>
</file>

<file path=xl/sharedStrings.xml><?xml version="1.0" encoding="utf-8"?>
<sst xmlns="http://schemas.openxmlformats.org/spreadsheetml/2006/main" count="1149" uniqueCount="391">
  <si>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</si>
  <si>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</si>
  <si>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</si>
  <si>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</si>
  <si>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</si>
  <si>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</si>
  <si>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</si>
  <si>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</si>
  <si>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</si>
  <si>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</si>
  <si>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</si>
  <si>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</si>
  <si>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</si>
  <si>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</si>
  <si>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</si>
  <si>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</si>
  <si>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</si>
  <si>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</si>
  <si>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</si>
  <si>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</si>
  <si>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</si>
  <si>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</si>
  <si>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</si>
  <si>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</si>
  <si>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</si>
  <si>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</si>
  <si>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</si>
  <si>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</si>
  <si>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</si>
  <si>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</si>
  <si>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</si>
  <si>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</si>
  <si>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</si>
  <si>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</si>
  <si>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</si>
  <si>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</si>
  <si>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</si>
  <si>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</si>
  <si>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</si>
  <si>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</si>
  <si>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</si>
  <si>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</si>
  <si>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</si>
  <si>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</si>
  <si>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</si>
  <si>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</si>
  <si>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</si>
  <si>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</si>
  <si>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</si>
  <si>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</si>
  <si>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</si>
  <si>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</si>
  <si>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</si>
  <si>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</si>
  <si>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</si>
  <si>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</si>
  <si>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</si>
  <si>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</si>
  <si>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</si>
  <si>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</si>
  <si>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</si>
  <si>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</si>
  <si>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</si>
  <si>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</si>
  <si>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</si>
  <si>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</si>
  <si>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</si>
  <si>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</si>
  <si>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</si>
  <si>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</si>
  <si>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</si>
  <si>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Poznámka:</t>
  </si>
  <si>
    <t>Objekt</t>
  </si>
  <si>
    <t>001</t>
  </si>
  <si>
    <t>CH</t>
  </si>
  <si>
    <t>K</t>
  </si>
  <si>
    <t>Kód</t>
  </si>
  <si>
    <t>113109320R00</t>
  </si>
  <si>
    <t>132201112R00</t>
  </si>
  <si>
    <t>132201119R00</t>
  </si>
  <si>
    <t>162701102R00</t>
  </si>
  <si>
    <t>174101101R00</t>
  </si>
  <si>
    <t>181006121R00</t>
  </si>
  <si>
    <t>87</t>
  </si>
  <si>
    <t>871353121R00</t>
  </si>
  <si>
    <t>871313121R00</t>
  </si>
  <si>
    <t>89</t>
  </si>
  <si>
    <t>892571111R00</t>
  </si>
  <si>
    <t>894411121R00</t>
  </si>
  <si>
    <t>899721112R00</t>
  </si>
  <si>
    <t>899311112R00</t>
  </si>
  <si>
    <t>894401211R00</t>
  </si>
  <si>
    <t>91</t>
  </si>
  <si>
    <t>919571111R00</t>
  </si>
  <si>
    <t>998276101R00</t>
  </si>
  <si>
    <t>M46</t>
  </si>
  <si>
    <t>460620006RT1</t>
  </si>
  <si>
    <t>583309990001</t>
  </si>
  <si>
    <t>28611265.A</t>
  </si>
  <si>
    <t>28611262.A</t>
  </si>
  <si>
    <t>59224359.A</t>
  </si>
  <si>
    <t>59224366.A</t>
  </si>
  <si>
    <t>59224640</t>
  </si>
  <si>
    <t>59224347.A</t>
  </si>
  <si>
    <t>55243087</t>
  </si>
  <si>
    <t>112201103R00</t>
  </si>
  <si>
    <t>113108406R00</t>
  </si>
  <si>
    <t>113109415R00</t>
  </si>
  <si>
    <t>139601102R00</t>
  </si>
  <si>
    <t>181101132R00</t>
  </si>
  <si>
    <t>181301102R00</t>
  </si>
  <si>
    <t>215901101RT5</t>
  </si>
  <si>
    <t>338920011R00</t>
  </si>
  <si>
    <t>564851111R00</t>
  </si>
  <si>
    <t>579300016R00</t>
  </si>
  <si>
    <t>597121261R00</t>
  </si>
  <si>
    <t>596215040R00</t>
  </si>
  <si>
    <t>596215021R00</t>
  </si>
  <si>
    <t>591211111R00</t>
  </si>
  <si>
    <t>711</t>
  </si>
  <si>
    <t>711482011RZ1</t>
  </si>
  <si>
    <t>871219111R00</t>
  </si>
  <si>
    <t>90</t>
  </si>
  <si>
    <t>904      R00</t>
  </si>
  <si>
    <t>916561111RT2</t>
  </si>
  <si>
    <t>918101111R00</t>
  </si>
  <si>
    <t>96</t>
  </si>
  <si>
    <t>963022819R00</t>
  </si>
  <si>
    <t>97</t>
  </si>
  <si>
    <t>971026451R00</t>
  </si>
  <si>
    <t>S</t>
  </si>
  <si>
    <t>979082318R00</t>
  </si>
  <si>
    <t>979990103R00</t>
  </si>
  <si>
    <t>979990113R00</t>
  </si>
  <si>
    <t>67352024</t>
  </si>
  <si>
    <t>583319002</t>
  </si>
  <si>
    <t>583315054</t>
  </si>
  <si>
    <t>58341003.A</t>
  </si>
  <si>
    <t>569621116R00</t>
  </si>
  <si>
    <t>569531111R00</t>
  </si>
  <si>
    <t>564811111R00</t>
  </si>
  <si>
    <t>573111112R00</t>
  </si>
  <si>
    <t>573231111R00</t>
  </si>
  <si>
    <t>577112113RT2</t>
  </si>
  <si>
    <t>577114116RT2</t>
  </si>
  <si>
    <t>894411020RBA</t>
  </si>
  <si>
    <t>917862111RU2</t>
  </si>
  <si>
    <t>460030081RT2</t>
  </si>
  <si>
    <t>Komunikace,kanalizace,chodníky</t>
  </si>
  <si>
    <t>Oprava</t>
  </si>
  <si>
    <t>Chrastava, Hřbitovní - Luční</t>
  </si>
  <si>
    <t>Zkrácený popis</t>
  </si>
  <si>
    <t>Rozměry</t>
  </si>
  <si>
    <t>Kanalizace</t>
  </si>
  <si>
    <t>Přípravné a přidružené práce</t>
  </si>
  <si>
    <t>Práce spojené s přechodem asfalt.komunikace</t>
  </si>
  <si>
    <t>včetně uvedení do původního stavu</t>
  </si>
  <si>
    <t>Hloubené vykopávky</t>
  </si>
  <si>
    <t>Hloubení rýh š.do 60 cm v hor.3 nad 100 m3,STROJNĚ</t>
  </si>
  <si>
    <t>včetně rozšíření pro RŠ</t>
  </si>
  <si>
    <t>Příplatek za lepivost - hloubení rýh 60 cm v hor.3</t>
  </si>
  <si>
    <t>Přemístění výkopku</t>
  </si>
  <si>
    <t>Vodorovné přemístění výkopku z hor.1-4 do 7000 m</t>
  </si>
  <si>
    <t>Konstrukce ze zemin</t>
  </si>
  <si>
    <t>Zásyp jam, rýh, šachet se zhutněním</t>
  </si>
  <si>
    <t>10cm pod a 30cm nad potrubí</t>
  </si>
  <si>
    <t>Povrchové úpravy terénu</t>
  </si>
  <si>
    <t>Rozprostření zemin ve sklonu nad 1:5, tl. do 10 cm</t>
  </si>
  <si>
    <t>Závěrečná úprava terénu</t>
  </si>
  <si>
    <t>Potrubí z trub plastických, skleněných a čedičových</t>
  </si>
  <si>
    <t>Montáž trub z plastu, gumový kroužek, DN 200</t>
  </si>
  <si>
    <t>Montáž trub z plastu, gumový kroužek, DN 150</t>
  </si>
  <si>
    <t>Ostatní konstrukce a práce na trubním vedení</t>
  </si>
  <si>
    <t>Zkouška těsnosti kanalizace DN do 200, vodou</t>
  </si>
  <si>
    <t>Zřízení šachet z dílců, dno C25/30, potrubí DN 300</t>
  </si>
  <si>
    <t>Fólie výstražná z PVC, šířka 30 cm</t>
  </si>
  <si>
    <t>Osazení poklopů litinových s rámem do 100 kg</t>
  </si>
  <si>
    <t>Osazení betonových prvků šachet</t>
  </si>
  <si>
    <t>Doplňující konstrukce a práce na pozemních komunikacích a zpevněných plochách</t>
  </si>
  <si>
    <t>Zřízení propustku z plastových trub do DN 300 mm</t>
  </si>
  <si>
    <t>výtokový objekt
viz technická zpráva, rozebrání a zpětné vyzdění kamenné stěny 1 m2</t>
  </si>
  <si>
    <t>Přesun hmot, trubní vedení plastová, otevř. výkop</t>
  </si>
  <si>
    <t>Zemní práce při montážích</t>
  </si>
  <si>
    <t>Osetí povrchu trávou</t>
  </si>
  <si>
    <t>včetně dodávky osiva</t>
  </si>
  <si>
    <t>Ostatní materiál</t>
  </si>
  <si>
    <t>Písek kopaný</t>
  </si>
  <si>
    <t>k pol.č.5</t>
  </si>
  <si>
    <t>Trubka kanalizační KGEM SN 8 PVC 200x5,9x5000</t>
  </si>
  <si>
    <t>Trubka kanalizační KGEM SN 8 PVC 160x4,7x5000</t>
  </si>
  <si>
    <t>Skruž šachetní TBS-Q.1 500mm</t>
  </si>
  <si>
    <t>Dno šachetní přímé TBZ-Q.1</t>
  </si>
  <si>
    <t>Konusový přechod TBS 2-60</t>
  </si>
  <si>
    <t>Prstenec vyrovn šachetní</t>
  </si>
  <si>
    <t>Mříž dešťová litina včetně rámu</t>
  </si>
  <si>
    <t>Chodníky</t>
  </si>
  <si>
    <t>Odstranění pařezů</t>
  </si>
  <si>
    <t>Odstranění podkladu pl. nad 50 m2, živice tl.6 cm</t>
  </si>
  <si>
    <t>Odstranění podkladu , beton, tl. 15 cm</t>
  </si>
  <si>
    <t>Ruční výkop jam, rýh a šachet v hornině tř. 3</t>
  </si>
  <si>
    <t>Zemní práce strojně</t>
  </si>
  <si>
    <t>Rozprostření ornice, rovina, tl. 10-15 cm,do 500m2</t>
  </si>
  <si>
    <t>Úprava podloží a základové spáry</t>
  </si>
  <si>
    <t>Zhutnění podloží  dle PD</t>
  </si>
  <si>
    <t>Sloupy a pilíře, stožáry a rámové stojky</t>
  </si>
  <si>
    <t>Osazení betonové palisády, š. do 11 cm, dl. 60 cm</t>
  </si>
  <si>
    <t>Podkladní vrstvy komunikací a zpevněných ploch</t>
  </si>
  <si>
    <t>Podklad ze štěrkodrti po zhutnění tloušťky 15 cm</t>
  </si>
  <si>
    <t>Kryty štěrkových a živičných pozemních komunikací a zpevněných ploch</t>
  </si>
  <si>
    <t>Kryt komunikací z asfalt.recyklátu po zhutnění 9cm</t>
  </si>
  <si>
    <t>Dlažby a předlažby pozemních komunikací a zpevněných ploch</t>
  </si>
  <si>
    <t>Montáž odvod.mikroštěrbinových trub systém</t>
  </si>
  <si>
    <t>Kladení zámkové dlažby tl. 8 cm do drtě tl. 4 cm</t>
  </si>
  <si>
    <t>Kladení zámkové dlažby tl. 6 cm do drtě tl. 4 cm</t>
  </si>
  <si>
    <t>Kladení dlažby drobné kostky,lože z kamen.tl. 5 cm</t>
  </si>
  <si>
    <t>Izolace proti vodě</t>
  </si>
  <si>
    <t>Izolační systém fólií nopovou svisle</t>
  </si>
  <si>
    <t>Kladení dren. potrubí bezvýkop.,flex.PVC, bez obs.</t>
  </si>
  <si>
    <t>Hodinové zúčtovací sazby (HZS)</t>
  </si>
  <si>
    <t>Hzs-hutnící zkoušky,neúkolovatelné nahodilé práce</t>
  </si>
  <si>
    <t>Osazení záhon.obrubníků do lože z C 12/15 s opěrou</t>
  </si>
  <si>
    <t>Lože pod obrubníky nebo obruby dlažeb z C 12/15</t>
  </si>
  <si>
    <t>Bourání konstrukcí</t>
  </si>
  <si>
    <t>Bourání .schodišťových stupňů</t>
  </si>
  <si>
    <t>Prorážení otvorů a ostatní bourací práce</t>
  </si>
  <si>
    <t>Vybourání otv. zeď kam.</t>
  </si>
  <si>
    <t>Přesuny sutí</t>
  </si>
  <si>
    <t>Vodorovná doprava suti a hmot</t>
  </si>
  <si>
    <t>Poplatek za skládku suti - beton</t>
  </si>
  <si>
    <t>Poplatek za skládku suti - obalované kam. - asfalt</t>
  </si>
  <si>
    <t>Geotextilie</t>
  </si>
  <si>
    <t>Kamenivo těžené frakce 32/63</t>
  </si>
  <si>
    <t>Kamenivo těžené frakce  8/16 B</t>
  </si>
  <si>
    <t>Komunikace</t>
  </si>
  <si>
    <t>Zpevnění krajnic asfaltovým recyklátem tl. 10 cm</t>
  </si>
  <si>
    <t>Zpevnění krajnic prohozenou zeminou tl. 10 cm</t>
  </si>
  <si>
    <t>Podklad ze štěrkodrti po zhutnění tloušťky 5 cm</t>
  </si>
  <si>
    <t>Postřik živičný infiltr.+ posyp,z asfaltu 1 kg/m2</t>
  </si>
  <si>
    <t>Postřik živičný spojovací z emulze 0,5-0,7 kg/m2</t>
  </si>
  <si>
    <t>Beton asfalt. ACO 11 S modifik. š. do 3 m, tl.4 cm</t>
  </si>
  <si>
    <t>Beton asf.ACL 16 S,modif.ložný š. do 3 m, tl. 7 cm</t>
  </si>
  <si>
    <t>Vpusť uliční z dílců DN 450,s kal.košem,s výtokem</t>
  </si>
  <si>
    <t>kompletní dodávka včetně práce</t>
  </si>
  <si>
    <t>Osazení stojat. obrub.bet. s opěrou,lože z C 12/15</t>
  </si>
  <si>
    <t>včetně dodávky obrub a betonu</t>
  </si>
  <si>
    <t>Řezání spáry v asfaltu nebo betonu</t>
  </si>
  <si>
    <t>Doba výstavby:</t>
  </si>
  <si>
    <t>Začátek výstavby:</t>
  </si>
  <si>
    <t>Konec výstavby:</t>
  </si>
  <si>
    <t>Zpracováno dne:</t>
  </si>
  <si>
    <t>M.j.</t>
  </si>
  <si>
    <t>m2</t>
  </si>
  <si>
    <t>m3</t>
  </si>
  <si>
    <t>m</t>
  </si>
  <si>
    <t>kus</t>
  </si>
  <si>
    <t>m 2</t>
  </si>
  <si>
    <t>t</t>
  </si>
  <si>
    <t>h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</si>
  <si>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</si>
  <si>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</si>
  <si>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</si>
  <si>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</si>
  <si>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</si>
  <si>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</si>
  <si>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</si>
  <si>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</si>
  <si>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</si>
  <si>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</si>
  <si>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</si>
  <si>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Pavel Beran</t>
  </si>
  <si>
    <t>Celkem</t>
  </si>
  <si>
    <t>Hmotnost (t)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</si>
  <si>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</si>
  <si>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</si>
  <si>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</si>
  <si>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</si>
  <si>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</si>
  <si>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</si>
  <si>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</si>
  <si>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</si>
  <si>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</si>
  <si>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</t>
  </si>
  <si>
    <t>11_</t>
  </si>
  <si>
    <t>13_</t>
  </si>
  <si>
    <t>16_</t>
  </si>
  <si>
    <t>17_</t>
  </si>
  <si>
    <t>18_</t>
  </si>
  <si>
    <t>87_</t>
  </si>
  <si>
    <t>89_</t>
  </si>
  <si>
    <t>91_</t>
  </si>
  <si>
    <t>M46_</t>
  </si>
  <si>
    <t>Z99999_</t>
  </si>
  <si>
    <t>21_</t>
  </si>
  <si>
    <t>33_</t>
  </si>
  <si>
    <t>56_</t>
  </si>
  <si>
    <t>57_</t>
  </si>
  <si>
    <t>59_</t>
  </si>
  <si>
    <t>711_</t>
  </si>
  <si>
    <t>90_</t>
  </si>
  <si>
    <t>96_</t>
  </si>
  <si>
    <t>97_</t>
  </si>
  <si>
    <t>S_</t>
  </si>
  <si>
    <t>001_1_</t>
  </si>
  <si>
    <t>001_8_</t>
  </si>
  <si>
    <t>001_9_</t>
  </si>
  <si>
    <t>001_Z_</t>
  </si>
  <si>
    <t>CH_1_</t>
  </si>
  <si>
    <t>CH_2_</t>
  </si>
  <si>
    <t>CH_3_</t>
  </si>
  <si>
    <t>CH_5_</t>
  </si>
  <si>
    <t>CH_71_</t>
  </si>
  <si>
    <t>CH_8_</t>
  </si>
  <si>
    <t>CH_9_</t>
  </si>
  <si>
    <t>CH_Z_</t>
  </si>
  <si>
    <t>K_5_</t>
  </si>
  <si>
    <t>K_8_</t>
  </si>
  <si>
    <t>K_9_</t>
  </si>
  <si>
    <t>001_</t>
  </si>
  <si>
    <t>CH_</t>
  </si>
  <si>
    <t>K_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</si>
  <si>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</si>
  <si>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</si>
  <si>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</si>
  <si>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</si>
  <si>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</si>
  <si>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</si>
  <si>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</si>
  <si>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</si>
  <si>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</si>
  <si>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</si>
  <si>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</si>
  <si>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</si>
  <si>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</si>
  <si>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</si>
  <si>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</si>
  <si>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</si>
  <si>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</si>
  <si>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</si>
  <si>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</si>
  <si>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</si>
  <si>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</si>
  <si>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</si>
  <si>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</si>
  <si>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</si>
  <si>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</si>
  <si>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</si>
  <si>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</si>
  <si>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</si>
  <si>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</si>
  <si>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</si>
  <si>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</si>
  <si>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</si>
  <si>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</si>
  <si>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</si>
  <si>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</si>
  <si>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</si>
  <si>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</si>
  <si>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</si>
  <si>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</si>
  <si>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</si>
  <si>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</si>
  <si>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</si>
  <si>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</si>
  <si>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Oprava povrchů</t>
  </si>
  <si>
    <t>Oprava komunikace u hřbitova I.+II. etapa (komunikace,kanalizace,chodníky)</t>
  </si>
  <si>
    <t>Krycí list objektu I. etapa (001 - Kanalizace)</t>
  </si>
  <si>
    <t>Krycí list objektu I. etapa (K - Komunikace)</t>
  </si>
  <si>
    <t>Krycí list objektu II. etapa (CH - Chodníky)</t>
  </si>
  <si>
    <t>35x0,5x0,3=5,25 m2</t>
  </si>
  <si>
    <t>odstranění a srovnání pláně pod "kufr"</t>
  </si>
  <si>
    <t>212x0,25=53 m3</t>
  </si>
  <si>
    <t>zásak 10x0,4x0,8=3,2 m3</t>
  </si>
  <si>
    <t>kanalizace 12x0,5x0,8=4,8</t>
  </si>
  <si>
    <t>včetně dodávky ornice a osetí</t>
  </si>
  <si>
    <t>včetně dodávky palisád (schody + boky)</t>
  </si>
  <si>
    <t>frakce 0-63 mm, včetně dodávky</t>
  </si>
  <si>
    <t>zpevněné plochy-vjezdy vyjmuté z I. etapy</t>
  </si>
  <si>
    <t>včetně dodávky drtě a dlažby</t>
  </si>
  <si>
    <t>kompletní systém</t>
  </si>
  <si>
    <t>včetně dodávky žzlových kostek 8/10</t>
  </si>
  <si>
    <t>včetně dodávky drtě-podklad, spárování</t>
  </si>
  <si>
    <t>včetně ochranné geotextilie</t>
  </si>
  <si>
    <t>včetně dodávky flex. trouby 150 mm</t>
  </si>
  <si>
    <t>včetně dodávky trub</t>
  </si>
  <si>
    <t xml:space="preserve">včetně dodávky obrub </t>
  </si>
  <si>
    <t>262x0,25x0,25=16,4 m3</t>
  </si>
  <si>
    <t>prostup pro kanalizaci v opěrné zdi včetně začištění a osazení trouby</t>
  </si>
  <si>
    <t>včetně zásaku</t>
  </si>
  <si>
    <t xml:space="preserve">zásak </t>
  </si>
  <si>
    <t>Plavený kačírek fr. 8/16  tř.B praná</t>
  </si>
  <si>
    <t>napojování a ostatní nezpecifikované práce-čerpání této položky bude odsouhlaseno TDI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</si>
</sst>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36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4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4"/>
      <name val="Arial"/>
      <family val="0"/>
    </font>
    <font>
      <b/>
      <sz val="10"/>
      <color indexed="56"/>
      <name val="Arial"/>
      <family val="0"/>
    </font>
    <font>
      <i/>
      <sz val="10"/>
      <color indexed="60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24"/>
      <color indexed="8"/>
      <name val="Arial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  <font>
      <i/>
      <sz val="10"/>
      <color indexed="61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2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3" borderId="0" applyNumberFormat="0" applyBorder="0" applyAlignment="0" applyProtection="0"/>
    <xf numFmtId="0" fontId="32" fillId="10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3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23" fillId="11" borderId="0" applyNumberFormat="0" applyBorder="0" applyAlignment="0" applyProtection="0"/>
    <xf numFmtId="0" fontId="29" fillId="8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0" fillId="4" borderId="6" applyNumberFormat="0" applyFont="0" applyAlignment="0" applyProtection="0"/>
    <xf numFmtId="43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2" fillId="12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3" borderId="8" applyNumberFormat="0" applyAlignment="0" applyProtection="0"/>
    <xf numFmtId="0" fontId="27" fillId="13" borderId="8" applyNumberFormat="0" applyAlignment="0" applyProtection="0"/>
    <xf numFmtId="0" fontId="26" fillId="13" borderId="9" applyNumberFormat="0" applyAlignment="0" applyProtection="0"/>
    <xf numFmtId="0" fontId="31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0" borderId="0" applyNumberFormat="0" applyBorder="0" applyAlignment="0" applyProtection="0"/>
    <xf numFmtId="0" fontId="32" fillId="17" borderId="0" applyNumberFormat="0" applyBorder="0" applyAlignment="0" applyProtection="0"/>
  </cellStyleXfs>
  <cellXfs count="123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18" borderId="12" xfId="0" applyNumberFormat="1" applyFont="1" applyFill="1" applyBorder="1" applyAlignment="1" applyProtection="1">
      <alignment horizontal="left" vertical="center"/>
      <protection/>
    </xf>
    <xf numFmtId="49" fontId="5" fillId="19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4" fillId="18" borderId="0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9" fillId="18" borderId="12" xfId="0" applyNumberFormat="1" applyFont="1" applyFill="1" applyBorder="1" applyAlignment="1" applyProtection="1">
      <alignment horizontal="left" vertical="center"/>
      <protection/>
    </xf>
    <xf numFmtId="49" fontId="10" fillId="19" borderId="0" xfId="0" applyNumberFormat="1" applyFont="1" applyFill="1" applyBorder="1" applyAlignment="1" applyProtection="1">
      <alignment horizontal="left" vertical="center"/>
      <protection/>
    </xf>
    <xf numFmtId="49" fontId="9" fillId="18" borderId="0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horizontal="right" vertical="top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7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9" fillId="18" borderId="12" xfId="0" applyNumberFormat="1" applyFont="1" applyFill="1" applyBorder="1" applyAlignment="1" applyProtection="1">
      <alignment horizontal="right" vertical="center"/>
      <protection/>
    </xf>
    <xf numFmtId="49" fontId="10" fillId="19" borderId="0" xfId="0" applyNumberFormat="1" applyFont="1" applyFill="1" applyBorder="1" applyAlignment="1" applyProtection="1">
      <alignment horizontal="right" vertical="center"/>
      <protection/>
    </xf>
    <xf numFmtId="49" fontId="9" fillId="18" borderId="0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9" fillId="18" borderId="12" xfId="0" applyNumberFormat="1" applyFont="1" applyFill="1" applyBorder="1" applyAlignment="1" applyProtection="1">
      <alignment horizontal="right" vertical="center"/>
      <protection/>
    </xf>
    <xf numFmtId="4" fontId="10" fillId="19" borderId="0" xfId="0" applyNumberFormat="1" applyFont="1" applyFill="1" applyBorder="1" applyAlignment="1" applyProtection="1">
      <alignment horizontal="right" vertical="center"/>
      <protection/>
    </xf>
    <xf numFmtId="4" fontId="9" fillId="18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13" fillId="20" borderId="26" xfId="0" applyNumberFormat="1" applyFont="1" applyFill="1" applyBorder="1" applyAlignment="1" applyProtection="1">
      <alignment horizontal="center" vertical="center"/>
      <protection/>
    </xf>
    <xf numFmtId="49" fontId="14" fillId="0" borderId="27" xfId="0" applyNumberFormat="1" applyFont="1" applyFill="1" applyBorder="1" applyAlignment="1" applyProtection="1">
      <alignment horizontal="left" vertical="center"/>
      <protection/>
    </xf>
    <xf numFmtId="49" fontId="14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49" fontId="8" fillId="0" borderId="12" xfId="0" applyNumberFormat="1" applyFont="1" applyFill="1" applyBorder="1" applyAlignment="1" applyProtection="1">
      <alignment horizontal="left" vertical="center"/>
      <protection/>
    </xf>
    <xf numFmtId="49" fontId="15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4" fontId="15" fillId="0" borderId="26" xfId="0" applyNumberFormat="1" applyFont="1" applyFill="1" applyBorder="1" applyAlignment="1" applyProtection="1">
      <alignment horizontal="right" vertical="center"/>
      <protection/>
    </xf>
    <xf numFmtId="49" fontId="15" fillId="0" borderId="26" xfId="0" applyNumberFormat="1" applyFont="1" applyFill="1" applyBorder="1" applyAlignment="1" applyProtection="1">
      <alignment horizontal="righ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" fontId="14" fillId="20" borderId="33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1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horizontal="left" vertical="center"/>
      <protection/>
    </xf>
    <xf numFmtId="49" fontId="35" fillId="0" borderId="0" xfId="0" applyNumberFormat="1" applyFont="1" applyFill="1" applyBorder="1" applyAlignment="1" applyProtection="1">
      <alignment horizontal="left" vertical="center"/>
      <protection/>
    </xf>
    <xf numFmtId="49" fontId="35" fillId="0" borderId="0" xfId="0" applyNumberFormat="1" applyFont="1" applyFill="1" applyBorder="1" applyAlignment="1" applyProtection="1">
      <alignment horizontal="righ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3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32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14" fontId="1" fillId="0" borderId="32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5" fillId="0" borderId="36" xfId="0" applyNumberFormat="1" applyFont="1" applyFill="1" applyBorder="1" applyAlignment="1" applyProtection="1">
      <alignment horizontal="left" vertical="center"/>
      <protection/>
    </xf>
    <xf numFmtId="0" fontId="15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49" fontId="12" fillId="0" borderId="37" xfId="0" applyNumberFormat="1" applyFont="1" applyFill="1" applyBorder="1" applyAlignment="1" applyProtection="1">
      <alignment horizontal="center" vertical="center"/>
      <protection/>
    </xf>
    <xf numFmtId="0" fontId="12" fillId="0" borderId="37" xfId="0" applyNumberFormat="1" applyFont="1" applyFill="1" applyBorder="1" applyAlignment="1" applyProtection="1">
      <alignment horizontal="center" vertical="center"/>
      <protection/>
    </xf>
    <xf numFmtId="49" fontId="16" fillId="0" borderId="36" xfId="0" applyNumberFormat="1" applyFont="1" applyFill="1" applyBorder="1" applyAlignment="1" applyProtection="1">
      <alignment horizontal="left" vertical="center"/>
      <protection/>
    </xf>
    <xf numFmtId="0" fontId="16" fillId="0" borderId="33" xfId="0" applyNumberFormat="1" applyFont="1" applyFill="1" applyBorder="1" applyAlignment="1" applyProtection="1">
      <alignment horizontal="left" vertical="center"/>
      <protection/>
    </xf>
    <xf numFmtId="49" fontId="14" fillId="0" borderId="36" xfId="0" applyNumberFormat="1" applyFont="1" applyFill="1" applyBorder="1" applyAlignment="1" applyProtection="1">
      <alignment horizontal="left" vertical="center"/>
      <protection/>
    </xf>
    <xf numFmtId="0" fontId="14" fillId="0" borderId="33" xfId="0" applyNumberFormat="1" applyFont="1" applyFill="1" applyBorder="1" applyAlignment="1" applyProtection="1">
      <alignment horizontal="left" vertical="center"/>
      <protection/>
    </xf>
    <xf numFmtId="49" fontId="14" fillId="20" borderId="36" xfId="0" applyNumberFormat="1" applyFont="1" applyFill="1" applyBorder="1" applyAlignment="1" applyProtection="1">
      <alignment horizontal="left" vertical="center"/>
      <protection/>
    </xf>
    <xf numFmtId="0" fontId="14" fillId="20" borderId="37" xfId="0" applyNumberFormat="1" applyFont="1" applyFill="1" applyBorder="1" applyAlignment="1" applyProtection="1">
      <alignment horizontal="left" vertical="center"/>
      <protection/>
    </xf>
    <xf numFmtId="49" fontId="15" fillId="0" borderId="38" xfId="0" applyNumberFormat="1" applyFont="1" applyFill="1" applyBorder="1" applyAlignment="1" applyProtection="1">
      <alignment horizontal="left" vertical="center"/>
      <protection/>
    </xf>
    <xf numFmtId="0" fontId="15" fillId="0" borderId="12" xfId="0" applyNumberFormat="1" applyFont="1" applyFill="1" applyBorder="1" applyAlignment="1" applyProtection="1">
      <alignment horizontal="left" vertical="center"/>
      <protection/>
    </xf>
    <xf numFmtId="0" fontId="15" fillId="0" borderId="39" xfId="0" applyNumberFormat="1" applyFont="1" applyFill="1" applyBorder="1" applyAlignment="1" applyProtection="1">
      <alignment horizontal="left" vertical="center"/>
      <protection/>
    </xf>
    <xf numFmtId="49" fontId="15" fillId="0" borderId="25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40" xfId="0" applyNumberFormat="1" applyFont="1" applyFill="1" applyBorder="1" applyAlignment="1" applyProtection="1">
      <alignment horizontal="left" vertical="center"/>
      <protection/>
    </xf>
    <xf numFmtId="49" fontId="15" fillId="0" borderId="41" xfId="0" applyNumberFormat="1" applyFont="1" applyFill="1" applyBorder="1" applyAlignment="1" applyProtection="1">
      <alignment horizontal="left" vertical="center"/>
      <protection/>
    </xf>
    <xf numFmtId="0" fontId="15" fillId="0" borderId="42" xfId="0" applyNumberFormat="1" applyFont="1" applyFill="1" applyBorder="1" applyAlignment="1" applyProtection="1">
      <alignment horizontal="left" vertical="center"/>
      <protection/>
    </xf>
    <xf numFmtId="0" fontId="15" fillId="0" borderId="43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4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 vertical="center"/>
    </xf>
    <xf numFmtId="49" fontId="1" fillId="0" borderId="44" xfId="0" applyNumberFormat="1" applyFont="1" applyFill="1" applyBorder="1" applyAlignment="1" applyProtection="1">
      <alignment horizontal="left" vertical="center"/>
      <protection/>
    </xf>
    <xf numFmtId="0" fontId="1" fillId="0" borderId="44" xfId="0" applyFont="1" applyBorder="1" applyAlignment="1">
      <alignment vertical="center"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  <xf numFmtId="0" fontId="1" fillId="0" borderId="45" xfId="0" applyNumberFormat="1" applyFont="1" applyFill="1" applyBorder="1" applyAlignment="1" applyProtection="1">
      <alignment horizontal="left" vertical="center"/>
      <protection/>
    </xf>
    <xf numFmtId="0" fontId="1" fillId="0" borderId="46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49" fontId="10" fillId="19" borderId="0" xfId="0" applyNumberFormat="1" applyFont="1" applyFill="1" applyBorder="1" applyAlignment="1" applyProtection="1">
      <alignment horizontal="left" vertical="center"/>
      <protection/>
    </xf>
    <xf numFmtId="0" fontId="10" fillId="19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/>
      <protection/>
    </xf>
    <xf numFmtId="49" fontId="3" fillId="0" borderId="47" xfId="0" applyNumberFormat="1" applyFont="1" applyFill="1" applyBorder="1" applyAlignment="1" applyProtection="1">
      <alignment horizontal="center" vertical="center"/>
      <protection/>
    </xf>
    <xf numFmtId="0" fontId="3" fillId="0" borderId="48" xfId="0" applyNumberFormat="1" applyFont="1" applyFill="1" applyBorder="1" applyAlignment="1" applyProtection="1">
      <alignment horizontal="center" vertical="center"/>
      <protection/>
    </xf>
    <xf numFmtId="0" fontId="3" fillId="0" borderId="49" xfId="0" applyNumberFormat="1" applyFont="1" applyFill="1" applyBorder="1" applyAlignment="1" applyProtection="1">
      <alignment horizontal="center" vertical="center"/>
      <protection/>
    </xf>
    <xf numFmtId="49" fontId="9" fillId="18" borderId="12" xfId="0" applyNumberFormat="1" applyFont="1" applyFill="1" applyBorder="1" applyAlignment="1" applyProtection="1">
      <alignment horizontal="left" vertical="center"/>
      <protection/>
    </xf>
    <xf numFmtId="0" fontId="9" fillId="18" borderId="12" xfId="0" applyNumberFormat="1" applyFont="1" applyFill="1" applyBorder="1" applyAlignment="1" applyProtection="1">
      <alignment horizontal="left" vertical="center"/>
      <protection/>
    </xf>
    <xf numFmtId="49" fontId="9" fillId="18" borderId="0" xfId="0" applyNumberFormat="1" applyFont="1" applyFill="1" applyBorder="1" applyAlignment="1" applyProtection="1">
      <alignment horizontal="left" vertical="center"/>
      <protection/>
    </xf>
    <xf numFmtId="0" fontId="9" fillId="18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C2" sqref="C2:D3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42.75" customHeight="1">
      <c r="A1" s="57"/>
      <c r="B1" s="43"/>
      <c r="C1" s="62" t="s">
        <v>334</v>
      </c>
      <c r="D1" s="63"/>
      <c r="E1" s="63"/>
      <c r="F1" s="63"/>
      <c r="G1" s="63"/>
      <c r="H1" s="63"/>
      <c r="I1" s="63"/>
    </row>
    <row r="2" spans="1:10" ht="12.75">
      <c r="A2" s="64" t="s">
        <v>1</v>
      </c>
      <c r="B2" s="65"/>
      <c r="C2" s="68" t="s">
        <v>364</v>
      </c>
      <c r="D2" s="69"/>
      <c r="E2" s="71" t="s">
        <v>264</v>
      </c>
      <c r="F2" s="71"/>
      <c r="G2" s="65"/>
      <c r="H2" s="71" t="s">
        <v>359</v>
      </c>
      <c r="I2" s="58"/>
      <c r="J2" s="35"/>
    </row>
    <row r="3" spans="1:10" ht="41.25" customHeight="1">
      <c r="A3" s="66"/>
      <c r="B3" s="67"/>
      <c r="C3" s="70"/>
      <c r="D3" s="70"/>
      <c r="E3" s="67"/>
      <c r="F3" s="67"/>
      <c r="G3" s="67"/>
      <c r="H3" s="67"/>
      <c r="I3" s="59"/>
      <c r="J3" s="35"/>
    </row>
    <row r="4" spans="1:10" ht="12.75">
      <c r="A4" s="74" t="s">
        <v>2</v>
      </c>
      <c r="B4" s="67"/>
      <c r="C4" s="72" t="s">
        <v>363</v>
      </c>
      <c r="D4" s="67"/>
      <c r="E4" s="72" t="s">
        <v>265</v>
      </c>
      <c r="F4" s="72"/>
      <c r="G4" s="67"/>
      <c r="H4" s="72" t="s">
        <v>359</v>
      </c>
      <c r="I4" s="73"/>
      <c r="J4" s="35"/>
    </row>
    <row r="5" spans="1:10" ht="12.75">
      <c r="A5" s="66"/>
      <c r="B5" s="67"/>
      <c r="C5" s="67"/>
      <c r="D5" s="67"/>
      <c r="E5" s="67"/>
      <c r="F5" s="67"/>
      <c r="G5" s="67"/>
      <c r="H5" s="67"/>
      <c r="I5" s="59"/>
      <c r="J5" s="35"/>
    </row>
    <row r="6" spans="1:10" ht="12.75">
      <c r="A6" s="74" t="s">
        <v>3</v>
      </c>
      <c r="B6" s="67"/>
      <c r="C6" s="72" t="s">
        <v>150</v>
      </c>
      <c r="D6" s="67"/>
      <c r="E6" s="72" t="s">
        <v>266</v>
      </c>
      <c r="F6" s="72"/>
      <c r="G6" s="67"/>
      <c r="H6" s="72" t="s">
        <v>359</v>
      </c>
      <c r="I6" s="73"/>
      <c r="J6" s="35"/>
    </row>
    <row r="7" spans="1:10" ht="12.75">
      <c r="A7" s="66"/>
      <c r="B7" s="67"/>
      <c r="C7" s="67"/>
      <c r="D7" s="67"/>
      <c r="E7" s="67"/>
      <c r="F7" s="67"/>
      <c r="G7" s="67"/>
      <c r="H7" s="67"/>
      <c r="I7" s="59"/>
      <c r="J7" s="35"/>
    </row>
    <row r="8" spans="1:10" ht="12.75">
      <c r="A8" s="74" t="s">
        <v>247</v>
      </c>
      <c r="B8" s="67"/>
      <c r="C8" s="77" t="s">
        <v>6</v>
      </c>
      <c r="D8" s="67"/>
      <c r="E8" s="72" t="s">
        <v>248</v>
      </c>
      <c r="F8" s="67"/>
      <c r="G8" s="67"/>
      <c r="H8" s="77" t="s">
        <v>360</v>
      </c>
      <c r="I8" s="73" t="s">
        <v>70</v>
      </c>
      <c r="J8" s="35"/>
    </row>
    <row r="9" spans="1:10" ht="12.75">
      <c r="A9" s="66"/>
      <c r="B9" s="67"/>
      <c r="C9" s="67"/>
      <c r="D9" s="67"/>
      <c r="E9" s="67"/>
      <c r="F9" s="67"/>
      <c r="G9" s="67"/>
      <c r="H9" s="67"/>
      <c r="I9" s="59"/>
      <c r="J9" s="35"/>
    </row>
    <row r="10" spans="1:10" ht="12.75">
      <c r="A10" s="74" t="s">
        <v>4</v>
      </c>
      <c r="B10" s="67"/>
      <c r="C10" s="72">
        <v>8272111</v>
      </c>
      <c r="D10" s="67"/>
      <c r="E10" s="72" t="s">
        <v>267</v>
      </c>
      <c r="F10" s="72" t="s">
        <v>269</v>
      </c>
      <c r="G10" s="67"/>
      <c r="H10" s="77" t="s">
        <v>361</v>
      </c>
      <c r="I10" s="75">
        <v>42765</v>
      </c>
      <c r="J10" s="35"/>
    </row>
    <row r="11" spans="1:10" ht="12.75">
      <c r="A11" s="80"/>
      <c r="B11" s="81"/>
      <c r="C11" s="81"/>
      <c r="D11" s="81"/>
      <c r="E11" s="81"/>
      <c r="F11" s="81"/>
      <c r="G11" s="81"/>
      <c r="H11" s="81"/>
      <c r="I11" s="76"/>
      <c r="J11" s="35"/>
    </row>
    <row r="12" spans="1:9" ht="23.25" customHeight="1">
      <c r="A12" s="82" t="s">
        <v>320</v>
      </c>
      <c r="B12" s="83"/>
      <c r="C12" s="83"/>
      <c r="D12" s="83"/>
      <c r="E12" s="83"/>
      <c r="F12" s="83"/>
      <c r="G12" s="83"/>
      <c r="H12" s="83"/>
      <c r="I12" s="83"/>
    </row>
    <row r="13" spans="1:10" ht="26.25" customHeight="1">
      <c r="A13" s="44" t="s">
        <v>321</v>
      </c>
      <c r="B13" s="84" t="s">
        <v>332</v>
      </c>
      <c r="C13" s="85"/>
      <c r="D13" s="44" t="s">
        <v>335</v>
      </c>
      <c r="E13" s="84" t="s">
        <v>344</v>
      </c>
      <c r="F13" s="85"/>
      <c r="G13" s="44" t="s">
        <v>345</v>
      </c>
      <c r="H13" s="84" t="s">
        <v>362</v>
      </c>
      <c r="I13" s="85"/>
      <c r="J13" s="35"/>
    </row>
    <row r="14" spans="1:10" ht="15" customHeight="1">
      <c r="A14" s="45" t="s">
        <v>322</v>
      </c>
      <c r="B14" s="49" t="s">
        <v>333</v>
      </c>
      <c r="C14" s="53">
        <f>SUM('Stavební rozpočet'!R12:R141)</f>
        <v>0</v>
      </c>
      <c r="D14" s="78" t="s">
        <v>336</v>
      </c>
      <c r="E14" s="79"/>
      <c r="F14" s="53">
        <v>0</v>
      </c>
      <c r="G14" s="78" t="s">
        <v>346</v>
      </c>
      <c r="H14" s="79"/>
      <c r="I14" s="53">
        <v>0</v>
      </c>
      <c r="J14" s="35"/>
    </row>
    <row r="15" spans="1:10" ht="15" customHeight="1">
      <c r="A15" s="46"/>
      <c r="B15" s="49" t="s">
        <v>268</v>
      </c>
      <c r="C15" s="53">
        <f>SUM('Stavební rozpočet'!S12:S141)</f>
        <v>0</v>
      </c>
      <c r="D15" s="78" t="s">
        <v>337</v>
      </c>
      <c r="E15" s="79"/>
      <c r="F15" s="53">
        <v>0</v>
      </c>
      <c r="G15" s="78" t="s">
        <v>347</v>
      </c>
      <c r="H15" s="79"/>
      <c r="I15" s="53">
        <v>0</v>
      </c>
      <c r="J15" s="35"/>
    </row>
    <row r="16" spans="1:10" ht="15" customHeight="1">
      <c r="A16" s="45" t="s">
        <v>323</v>
      </c>
      <c r="B16" s="49" t="s">
        <v>333</v>
      </c>
      <c r="C16" s="53">
        <f>SUM('Stavební rozpočet'!T12:T141)</f>
        <v>0</v>
      </c>
      <c r="D16" s="78" t="s">
        <v>338</v>
      </c>
      <c r="E16" s="79"/>
      <c r="F16" s="53">
        <v>0</v>
      </c>
      <c r="G16" s="78" t="s">
        <v>348</v>
      </c>
      <c r="H16" s="79"/>
      <c r="I16" s="53">
        <v>0</v>
      </c>
      <c r="J16" s="35"/>
    </row>
    <row r="17" spans="1:10" ht="15" customHeight="1">
      <c r="A17" s="46"/>
      <c r="B17" s="49" t="s">
        <v>268</v>
      </c>
      <c r="C17" s="53">
        <f>SUM('Stavební rozpočet'!U12:U141)</f>
        <v>0</v>
      </c>
      <c r="D17" s="78"/>
      <c r="E17" s="79"/>
      <c r="F17" s="54"/>
      <c r="G17" s="78" t="s">
        <v>349</v>
      </c>
      <c r="H17" s="79"/>
      <c r="I17" s="53">
        <v>0</v>
      </c>
      <c r="J17" s="35"/>
    </row>
    <row r="18" spans="1:10" ht="15" customHeight="1">
      <c r="A18" s="45" t="s">
        <v>324</v>
      </c>
      <c r="B18" s="49" t="s">
        <v>333</v>
      </c>
      <c r="C18" s="53">
        <f>SUM('Stavební rozpočet'!V12:V141)</f>
        <v>0</v>
      </c>
      <c r="D18" s="78"/>
      <c r="E18" s="79"/>
      <c r="F18" s="54"/>
      <c r="G18" s="78" t="s">
        <v>350</v>
      </c>
      <c r="H18" s="79"/>
      <c r="I18" s="53">
        <v>0</v>
      </c>
      <c r="J18" s="35"/>
    </row>
    <row r="19" spans="1:10" ht="15" customHeight="1">
      <c r="A19" s="46"/>
      <c r="B19" s="49" t="s">
        <v>268</v>
      </c>
      <c r="C19" s="53">
        <f>SUM('Stavební rozpočet'!W12:W141)</f>
        <v>0</v>
      </c>
      <c r="D19" s="78"/>
      <c r="E19" s="79"/>
      <c r="F19" s="54"/>
      <c r="G19" s="78" t="s">
        <v>351</v>
      </c>
      <c r="H19" s="79"/>
      <c r="I19" s="53">
        <v>0</v>
      </c>
      <c r="J19" s="35"/>
    </row>
    <row r="20" spans="1:10" ht="15" customHeight="1">
      <c r="A20" s="86" t="s">
        <v>185</v>
      </c>
      <c r="B20" s="87"/>
      <c r="C20" s="53">
        <f>SUM('Stavební rozpočet'!X12:X141)</f>
        <v>0</v>
      </c>
      <c r="D20" s="78"/>
      <c r="E20" s="79"/>
      <c r="F20" s="54"/>
      <c r="G20" s="78"/>
      <c r="H20" s="79"/>
      <c r="I20" s="54"/>
      <c r="J20" s="35"/>
    </row>
    <row r="21" spans="1:10" ht="15" customHeight="1">
      <c r="A21" s="86" t="s">
        <v>325</v>
      </c>
      <c r="B21" s="87"/>
      <c r="C21" s="53">
        <f>SUM('Stavební rozpočet'!P12:P141)</f>
        <v>0</v>
      </c>
      <c r="D21" s="78"/>
      <c r="E21" s="79"/>
      <c r="F21" s="54"/>
      <c r="G21" s="78"/>
      <c r="H21" s="79"/>
      <c r="I21" s="54"/>
      <c r="J21" s="35"/>
    </row>
    <row r="22" spans="1:10" ht="16.5" customHeight="1">
      <c r="A22" s="86" t="s">
        <v>326</v>
      </c>
      <c r="B22" s="87"/>
      <c r="C22" s="53">
        <f>SUM(C14:C21)</f>
        <v>0</v>
      </c>
      <c r="D22" s="86" t="s">
        <v>339</v>
      </c>
      <c r="E22" s="87"/>
      <c r="F22" s="53">
        <f>SUM(F14:F21)</f>
        <v>0</v>
      </c>
      <c r="G22" s="86" t="s">
        <v>352</v>
      </c>
      <c r="H22" s="87"/>
      <c r="I22" s="53">
        <f>SUM(I14:I21)</f>
        <v>0</v>
      </c>
      <c r="J22" s="35"/>
    </row>
    <row r="23" spans="1:10" ht="15" customHeight="1">
      <c r="A23" s="9"/>
      <c r="B23" s="9"/>
      <c r="C23" s="51"/>
      <c r="D23" s="86" t="s">
        <v>340</v>
      </c>
      <c r="E23" s="87"/>
      <c r="F23" s="53">
        <f>'Krycí list objektu I. eta (001)'!F22+'Krycí list objektu II. etap(CH)'!F22+'Krycí list objektu I. etapa (K)'!F22</f>
        <v>0</v>
      </c>
      <c r="G23" s="86" t="s">
        <v>353</v>
      </c>
      <c r="H23" s="87"/>
      <c r="I23" s="53">
        <f>'Krycí list objektu I. eta (001)'!I22+'Krycí list objektu II. etap(CH)'!I22+'Krycí list objektu I. etapa (K)'!I22</f>
        <v>0</v>
      </c>
      <c r="J23" s="35"/>
    </row>
    <row r="24" spans="4:10" ht="15" customHeight="1">
      <c r="D24" s="9"/>
      <c r="E24" s="9"/>
      <c r="F24" s="51"/>
      <c r="G24" s="86" t="s">
        <v>354</v>
      </c>
      <c r="H24" s="87"/>
      <c r="I24" s="53">
        <v>0</v>
      </c>
      <c r="J24" s="35"/>
    </row>
    <row r="25" spans="6:10" ht="15" customHeight="1">
      <c r="F25" s="55"/>
      <c r="G25" s="86" t="s">
        <v>355</v>
      </c>
      <c r="H25" s="87"/>
      <c r="I25" s="53">
        <f>'Krycí list objektu I. eta (001)'!I23+'Krycí list objektu II. etap(CH)'!I23+'Krycí list objektu I. etapa (K)'!I23</f>
        <v>0</v>
      </c>
      <c r="J25" s="35"/>
    </row>
    <row r="26" spans="1:9" ht="12.75">
      <c r="A26" s="43"/>
      <c r="B26" s="43"/>
      <c r="C26" s="43"/>
      <c r="G26" s="9"/>
      <c r="H26" s="9"/>
      <c r="I26" s="9"/>
    </row>
    <row r="27" spans="1:9" ht="15" customHeight="1">
      <c r="A27" s="88" t="s">
        <v>327</v>
      </c>
      <c r="B27" s="89"/>
      <c r="C27" s="56">
        <f>SUM('Stavební rozpočet'!Z12:Z141)</f>
        <v>0</v>
      </c>
      <c r="D27" s="52"/>
      <c r="E27" s="43"/>
      <c r="F27" s="43"/>
      <c r="G27" s="43"/>
      <c r="H27" s="43"/>
      <c r="I27" s="43"/>
    </row>
    <row r="28" spans="1:10" ht="15" customHeight="1">
      <c r="A28" s="88" t="s">
        <v>328</v>
      </c>
      <c r="B28" s="89"/>
      <c r="C28" s="56">
        <f>SUM('Stavební rozpočet'!AA12:AA141)</f>
        <v>0</v>
      </c>
      <c r="D28" s="88" t="s">
        <v>341</v>
      </c>
      <c r="E28" s="89"/>
      <c r="F28" s="56">
        <f>ROUND(C28*(15/100),2)</f>
        <v>0</v>
      </c>
      <c r="G28" s="88" t="s">
        <v>356</v>
      </c>
      <c r="H28" s="89"/>
      <c r="I28" s="56">
        <f>SUM(C27:C29)</f>
        <v>0</v>
      </c>
      <c r="J28" s="35"/>
    </row>
    <row r="29" spans="1:10" ht="15" customHeight="1">
      <c r="A29" s="88" t="s">
        <v>329</v>
      </c>
      <c r="B29" s="89"/>
      <c r="C29" s="56">
        <f>SUM('Stavební rozpočet'!AB12:AB141)+(F22+I22+F23+I23+I24+I25)</f>
        <v>0</v>
      </c>
      <c r="D29" s="88" t="s">
        <v>342</v>
      </c>
      <c r="E29" s="89"/>
      <c r="F29" s="56">
        <f>ROUND(C29*(21/100),2)</f>
        <v>0</v>
      </c>
      <c r="G29" s="88" t="s">
        <v>357</v>
      </c>
      <c r="H29" s="89"/>
      <c r="I29" s="56">
        <f>SUM(F28:F29)+I28</f>
        <v>0</v>
      </c>
      <c r="J29" s="35"/>
    </row>
    <row r="30" spans="1:9" ht="12.75">
      <c r="A30" s="47"/>
      <c r="B30" s="47"/>
      <c r="C30" s="47"/>
      <c r="D30" s="47"/>
      <c r="E30" s="47"/>
      <c r="F30" s="47"/>
      <c r="G30" s="47"/>
      <c r="H30" s="47"/>
      <c r="I30" s="47"/>
    </row>
    <row r="31" spans="1:10" ht="14.25" customHeight="1">
      <c r="A31" s="90" t="s">
        <v>330</v>
      </c>
      <c r="B31" s="91"/>
      <c r="C31" s="92"/>
      <c r="D31" s="90" t="s">
        <v>343</v>
      </c>
      <c r="E31" s="91"/>
      <c r="F31" s="92"/>
      <c r="G31" s="90" t="s">
        <v>358</v>
      </c>
      <c r="H31" s="91"/>
      <c r="I31" s="92"/>
      <c r="J31" s="36"/>
    </row>
    <row r="32" spans="1:10" ht="14.25" customHeight="1">
      <c r="A32" s="93"/>
      <c r="B32" s="94"/>
      <c r="C32" s="95"/>
      <c r="D32" s="93"/>
      <c r="E32" s="94"/>
      <c r="F32" s="95"/>
      <c r="G32" s="93"/>
      <c r="H32" s="94"/>
      <c r="I32" s="95"/>
      <c r="J32" s="36"/>
    </row>
    <row r="33" spans="1:10" ht="14.25" customHeight="1">
      <c r="A33" s="93"/>
      <c r="B33" s="94"/>
      <c r="C33" s="95"/>
      <c r="D33" s="93"/>
      <c r="E33" s="94"/>
      <c r="F33" s="95"/>
      <c r="G33" s="93"/>
      <c r="H33" s="94"/>
      <c r="I33" s="95"/>
      <c r="J33" s="36"/>
    </row>
    <row r="34" spans="1:10" ht="14.25" customHeight="1">
      <c r="A34" s="93"/>
      <c r="B34" s="94"/>
      <c r="C34" s="95"/>
      <c r="D34" s="93"/>
      <c r="E34" s="94"/>
      <c r="F34" s="95"/>
      <c r="G34" s="93"/>
      <c r="H34" s="94"/>
      <c r="I34" s="95"/>
      <c r="J34" s="36"/>
    </row>
    <row r="35" spans="1:10" ht="14.25" customHeight="1">
      <c r="A35" s="96" t="s">
        <v>331</v>
      </c>
      <c r="B35" s="97"/>
      <c r="C35" s="98"/>
      <c r="D35" s="96" t="s">
        <v>331</v>
      </c>
      <c r="E35" s="97"/>
      <c r="F35" s="98"/>
      <c r="G35" s="96" t="s">
        <v>331</v>
      </c>
      <c r="H35" s="97"/>
      <c r="I35" s="98"/>
      <c r="J35" s="36"/>
    </row>
    <row r="36" spans="1:9" ht="11.25" customHeight="1">
      <c r="A36" s="48" t="s">
        <v>71</v>
      </c>
      <c r="B36" s="50"/>
      <c r="C36" s="50"/>
      <c r="D36" s="50"/>
      <c r="E36" s="50"/>
      <c r="F36" s="50"/>
      <c r="G36" s="50"/>
      <c r="H36" s="50"/>
      <c r="I36" s="50"/>
    </row>
    <row r="37" spans="1:9" ht="409.5" customHeight="1" hidden="1">
      <c r="A37" s="72"/>
      <c r="B37" s="67"/>
      <c r="C37" s="67"/>
      <c r="D37" s="67"/>
      <c r="E37" s="67"/>
      <c r="F37" s="67"/>
      <c r="G37" s="67"/>
      <c r="H37" s="67"/>
      <c r="I37" s="67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H13:I13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D14:E14"/>
    <mergeCell ref="G14:H14"/>
    <mergeCell ref="A10:B11"/>
    <mergeCell ref="C10:D11"/>
    <mergeCell ref="E10:E11"/>
    <mergeCell ref="F10:G11"/>
    <mergeCell ref="H10:H11"/>
    <mergeCell ref="A12:I12"/>
    <mergeCell ref="B13:C13"/>
    <mergeCell ref="E13:F13"/>
    <mergeCell ref="E6:E7"/>
    <mergeCell ref="F6:G7"/>
    <mergeCell ref="I10:I11"/>
    <mergeCell ref="A8:B9"/>
    <mergeCell ref="C8:D9"/>
    <mergeCell ref="E8:E9"/>
    <mergeCell ref="F8:G9"/>
    <mergeCell ref="H8:H9"/>
    <mergeCell ref="I8:I9"/>
    <mergeCell ref="H6:H7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selection activeCell="D33" sqref="D33:F33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56.25" customHeight="1">
      <c r="A1" s="57"/>
      <c r="B1" s="43"/>
      <c r="C1" s="62" t="s">
        <v>366</v>
      </c>
      <c r="D1" s="63"/>
      <c r="E1" s="63"/>
      <c r="F1" s="63"/>
      <c r="G1" s="63"/>
      <c r="H1" s="63"/>
      <c r="I1" s="63"/>
    </row>
    <row r="2" spans="1:10" ht="12.75" customHeight="1">
      <c r="A2" s="64" t="s">
        <v>1</v>
      </c>
      <c r="B2" s="65"/>
      <c r="C2" s="68" t="s">
        <v>364</v>
      </c>
      <c r="D2" s="69"/>
      <c r="E2" s="71" t="s">
        <v>264</v>
      </c>
      <c r="F2" s="71"/>
      <c r="G2" s="65"/>
      <c r="H2" s="71" t="s">
        <v>359</v>
      </c>
      <c r="I2" s="58"/>
      <c r="J2" s="35"/>
    </row>
    <row r="3" spans="1:10" ht="24.75" customHeight="1">
      <c r="A3" s="66"/>
      <c r="B3" s="67"/>
      <c r="C3" s="70"/>
      <c r="D3" s="70"/>
      <c r="E3" s="67"/>
      <c r="F3" s="67"/>
      <c r="G3" s="67"/>
      <c r="H3" s="67"/>
      <c r="I3" s="59"/>
      <c r="J3" s="35"/>
    </row>
    <row r="4" spans="1:10" ht="12.75">
      <c r="A4" s="74" t="s">
        <v>2</v>
      </c>
      <c r="B4" s="67"/>
      <c r="C4" s="72" t="s">
        <v>149</v>
      </c>
      <c r="D4" s="67"/>
      <c r="E4" s="72" t="s">
        <v>265</v>
      </c>
      <c r="F4" s="72"/>
      <c r="G4" s="67"/>
      <c r="H4" s="72" t="s">
        <v>359</v>
      </c>
      <c r="I4" s="73"/>
      <c r="J4" s="35"/>
    </row>
    <row r="5" spans="1:10" ht="12.75">
      <c r="A5" s="66"/>
      <c r="B5" s="67"/>
      <c r="C5" s="67"/>
      <c r="D5" s="67"/>
      <c r="E5" s="67"/>
      <c r="F5" s="67"/>
      <c r="G5" s="67"/>
      <c r="H5" s="67"/>
      <c r="I5" s="59"/>
      <c r="J5" s="35"/>
    </row>
    <row r="6" spans="1:10" ht="12.75">
      <c r="A6" s="74" t="s">
        <v>3</v>
      </c>
      <c r="B6" s="67"/>
      <c r="C6" s="72" t="s">
        <v>150</v>
      </c>
      <c r="D6" s="67"/>
      <c r="E6" s="72" t="s">
        <v>266</v>
      </c>
      <c r="F6" s="72"/>
      <c r="G6" s="67"/>
      <c r="H6" s="72" t="s">
        <v>359</v>
      </c>
      <c r="I6" s="73"/>
      <c r="J6" s="35"/>
    </row>
    <row r="7" spans="1:10" ht="12.75">
      <c r="A7" s="66"/>
      <c r="B7" s="67"/>
      <c r="C7" s="67"/>
      <c r="D7" s="67"/>
      <c r="E7" s="67"/>
      <c r="F7" s="67"/>
      <c r="G7" s="67"/>
      <c r="H7" s="67"/>
      <c r="I7" s="59"/>
      <c r="J7" s="35"/>
    </row>
    <row r="8" spans="1:10" ht="12.75">
      <c r="A8" s="74" t="s">
        <v>247</v>
      </c>
      <c r="B8" s="67"/>
      <c r="C8" s="77" t="s">
        <v>6</v>
      </c>
      <c r="D8" s="67"/>
      <c r="E8" s="72" t="s">
        <v>248</v>
      </c>
      <c r="F8" s="67"/>
      <c r="G8" s="67"/>
      <c r="H8" s="77" t="s">
        <v>360</v>
      </c>
      <c r="I8" s="73" t="s">
        <v>17</v>
      </c>
      <c r="J8" s="35"/>
    </row>
    <row r="9" spans="1:10" ht="12.75">
      <c r="A9" s="66"/>
      <c r="B9" s="67"/>
      <c r="C9" s="67"/>
      <c r="D9" s="67"/>
      <c r="E9" s="67"/>
      <c r="F9" s="67"/>
      <c r="G9" s="67"/>
      <c r="H9" s="67"/>
      <c r="I9" s="59"/>
      <c r="J9" s="35"/>
    </row>
    <row r="10" spans="1:10" ht="12.75">
      <c r="A10" s="74" t="s">
        <v>4</v>
      </c>
      <c r="B10" s="67"/>
      <c r="C10" s="72">
        <v>8272111</v>
      </c>
      <c r="D10" s="67"/>
      <c r="E10" s="72" t="s">
        <v>267</v>
      </c>
      <c r="F10" s="72" t="s">
        <v>269</v>
      </c>
      <c r="G10" s="67"/>
      <c r="H10" s="77" t="s">
        <v>361</v>
      </c>
      <c r="I10" s="75">
        <v>42765</v>
      </c>
      <c r="J10" s="35"/>
    </row>
    <row r="11" spans="1:10" ht="12.75">
      <c r="A11" s="80"/>
      <c r="B11" s="81"/>
      <c r="C11" s="81"/>
      <c r="D11" s="81"/>
      <c r="E11" s="81"/>
      <c r="F11" s="81"/>
      <c r="G11" s="81"/>
      <c r="H11" s="81"/>
      <c r="I11" s="76"/>
      <c r="J11" s="35"/>
    </row>
    <row r="12" spans="1:9" ht="23.25" customHeight="1">
      <c r="A12" s="82" t="s">
        <v>320</v>
      </c>
      <c r="B12" s="83"/>
      <c r="C12" s="83"/>
      <c r="D12" s="83"/>
      <c r="E12" s="83"/>
      <c r="F12" s="83"/>
      <c r="G12" s="83"/>
      <c r="H12" s="83"/>
      <c r="I12" s="83"/>
    </row>
    <row r="13" spans="1:10" ht="26.25" customHeight="1">
      <c r="A13" s="44" t="s">
        <v>321</v>
      </c>
      <c r="B13" s="84" t="s">
        <v>332</v>
      </c>
      <c r="C13" s="85"/>
      <c r="D13" s="44" t="s">
        <v>335</v>
      </c>
      <c r="E13" s="84" t="s">
        <v>344</v>
      </c>
      <c r="F13" s="85"/>
      <c r="G13" s="44" t="s">
        <v>345</v>
      </c>
      <c r="H13" s="84" t="s">
        <v>362</v>
      </c>
      <c r="I13" s="85"/>
      <c r="J13" s="35"/>
    </row>
    <row r="14" spans="1:10" ht="15" customHeight="1">
      <c r="A14" s="45" t="s">
        <v>322</v>
      </c>
      <c r="B14" s="49" t="s">
        <v>333</v>
      </c>
      <c r="C14" s="53">
        <f>SUMIF('Stavební rozpočet'!Y12:Y141,"K",'Stavební rozpočet'!R12:R141)</f>
        <v>0</v>
      </c>
      <c r="D14" s="78" t="s">
        <v>336</v>
      </c>
      <c r="E14" s="79"/>
      <c r="F14" s="53">
        <v>0</v>
      </c>
      <c r="G14" s="78" t="s">
        <v>346</v>
      </c>
      <c r="H14" s="79"/>
      <c r="I14" s="53">
        <v>0</v>
      </c>
      <c r="J14" s="35"/>
    </row>
    <row r="15" spans="1:10" ht="15" customHeight="1">
      <c r="A15" s="46"/>
      <c r="B15" s="49" t="s">
        <v>268</v>
      </c>
      <c r="C15" s="53">
        <f>SUMIF('Stavební rozpočet'!Y12:Y141,"K",'Stavební rozpočet'!S12:S141)</f>
        <v>0</v>
      </c>
      <c r="D15" s="78" t="s">
        <v>337</v>
      </c>
      <c r="E15" s="79"/>
      <c r="F15" s="53">
        <v>0</v>
      </c>
      <c r="G15" s="78" t="s">
        <v>347</v>
      </c>
      <c r="H15" s="79"/>
      <c r="I15" s="53">
        <v>0</v>
      </c>
      <c r="J15" s="35"/>
    </row>
    <row r="16" spans="1:10" ht="15" customHeight="1">
      <c r="A16" s="45" t="s">
        <v>323</v>
      </c>
      <c r="B16" s="49" t="s">
        <v>333</v>
      </c>
      <c r="C16" s="53">
        <f>SUMIF('Stavební rozpočet'!Y12:Y141,"K",'Stavební rozpočet'!T12:T141)</f>
        <v>0</v>
      </c>
      <c r="D16" s="78" t="s">
        <v>338</v>
      </c>
      <c r="E16" s="79"/>
      <c r="F16" s="53">
        <v>0</v>
      </c>
      <c r="G16" s="78" t="s">
        <v>348</v>
      </c>
      <c r="H16" s="79"/>
      <c r="I16" s="53">
        <v>0</v>
      </c>
      <c r="J16" s="35"/>
    </row>
    <row r="17" spans="1:10" ht="15" customHeight="1">
      <c r="A17" s="46"/>
      <c r="B17" s="49" t="s">
        <v>268</v>
      </c>
      <c r="C17" s="53">
        <f>SUMIF('Stavební rozpočet'!Y12:Y141,"K",'Stavební rozpočet'!U12:U141)</f>
        <v>0</v>
      </c>
      <c r="D17" s="78"/>
      <c r="E17" s="79"/>
      <c r="F17" s="54"/>
      <c r="G17" s="78" t="s">
        <v>349</v>
      </c>
      <c r="H17" s="79"/>
      <c r="I17" s="53">
        <v>0</v>
      </c>
      <c r="J17" s="35"/>
    </row>
    <row r="18" spans="1:10" ht="15" customHeight="1">
      <c r="A18" s="45" t="s">
        <v>324</v>
      </c>
      <c r="B18" s="49" t="s">
        <v>333</v>
      </c>
      <c r="C18" s="53">
        <f>SUMIF('Stavební rozpočet'!Y12:Y141,"K",'Stavební rozpočet'!V12:V141)</f>
        <v>0</v>
      </c>
      <c r="D18" s="78"/>
      <c r="E18" s="79"/>
      <c r="F18" s="54"/>
      <c r="G18" s="78" t="s">
        <v>350</v>
      </c>
      <c r="H18" s="79"/>
      <c r="I18" s="53">
        <v>0</v>
      </c>
      <c r="J18" s="35"/>
    </row>
    <row r="19" spans="1:10" ht="15" customHeight="1">
      <c r="A19" s="46"/>
      <c r="B19" s="49" t="s">
        <v>268</v>
      </c>
      <c r="C19" s="53">
        <f>SUMIF('Stavební rozpočet'!Y12:Y141,"K",'Stavební rozpočet'!W12:W141)</f>
        <v>0</v>
      </c>
      <c r="D19" s="78"/>
      <c r="E19" s="79"/>
      <c r="F19" s="54"/>
      <c r="G19" s="78" t="s">
        <v>351</v>
      </c>
      <c r="H19" s="79"/>
      <c r="I19" s="53">
        <v>0</v>
      </c>
      <c r="J19" s="35"/>
    </row>
    <row r="20" spans="1:10" ht="15" customHeight="1">
      <c r="A20" s="86" t="s">
        <v>185</v>
      </c>
      <c r="B20" s="87"/>
      <c r="C20" s="53">
        <f>SUMIF('Stavební rozpočet'!Y12:Y141,"K",'Stavební rozpočet'!X12:X141)</f>
        <v>0</v>
      </c>
      <c r="D20" s="78"/>
      <c r="E20" s="79"/>
      <c r="F20" s="54"/>
      <c r="G20" s="78"/>
      <c r="H20" s="79"/>
      <c r="I20" s="54"/>
      <c r="J20" s="35"/>
    </row>
    <row r="21" spans="1:10" ht="15" customHeight="1">
      <c r="A21" s="86" t="s">
        <v>325</v>
      </c>
      <c r="B21" s="87"/>
      <c r="C21" s="53">
        <f>SUMIF('Stavební rozpočet'!Y12:Y141,"K",'Stavební rozpočet'!P12:P141)</f>
        <v>0</v>
      </c>
      <c r="D21" s="78"/>
      <c r="E21" s="79"/>
      <c r="F21" s="54"/>
      <c r="G21" s="78"/>
      <c r="H21" s="79"/>
      <c r="I21" s="54"/>
      <c r="J21" s="35"/>
    </row>
    <row r="22" spans="1:10" ht="16.5" customHeight="1">
      <c r="A22" s="86" t="s">
        <v>326</v>
      </c>
      <c r="B22" s="87"/>
      <c r="C22" s="53">
        <f>SUM(C14:C21)</f>
        <v>0</v>
      </c>
      <c r="D22" s="86" t="s">
        <v>339</v>
      </c>
      <c r="E22" s="87"/>
      <c r="F22" s="53">
        <f>SUM(F14:F21)</f>
        <v>0</v>
      </c>
      <c r="G22" s="86" t="s">
        <v>352</v>
      </c>
      <c r="H22" s="87"/>
      <c r="I22" s="53">
        <f>SUM(I14:I21)</f>
        <v>0</v>
      </c>
      <c r="J22" s="35"/>
    </row>
    <row r="23" spans="1:10" ht="15" customHeight="1">
      <c r="A23" s="9"/>
      <c r="B23" s="9"/>
      <c r="C23" s="9"/>
      <c r="D23" s="9"/>
      <c r="E23" s="9"/>
      <c r="F23" s="51"/>
      <c r="G23" s="86" t="s">
        <v>354</v>
      </c>
      <c r="H23" s="87"/>
      <c r="I23" s="53">
        <v>0</v>
      </c>
      <c r="J23" s="35"/>
    </row>
    <row r="24" spans="1:9" ht="12.75">
      <c r="A24" s="43"/>
      <c r="B24" s="43"/>
      <c r="C24" s="43"/>
      <c r="G24" s="9"/>
      <c r="H24" s="9"/>
      <c r="I24" s="9"/>
    </row>
    <row r="25" spans="1:9" ht="15" customHeight="1">
      <c r="A25" s="88" t="s">
        <v>327</v>
      </c>
      <c r="B25" s="89"/>
      <c r="C25" s="56">
        <f>('Stavební rozpočet'!AI124+'Stavební rozpočet'!AI128+'Stavební rozpočet'!AI133+'Stavební rozpočet'!AI136+'Stavební rozpočet'!AI140)</f>
        <v>0</v>
      </c>
      <c r="D25" s="52"/>
      <c r="E25" s="43"/>
      <c r="F25" s="43"/>
      <c r="G25" s="43"/>
      <c r="H25" s="43"/>
      <c r="I25" s="43"/>
    </row>
    <row r="26" spans="1:10" ht="15" customHeight="1">
      <c r="A26" s="88" t="s">
        <v>328</v>
      </c>
      <c r="B26" s="89"/>
      <c r="C26" s="56">
        <f>('Stavební rozpočet'!AJ124+'Stavební rozpočet'!AJ128+'Stavební rozpočet'!AJ133+'Stavební rozpočet'!AJ136+'Stavební rozpočet'!AJ140)</f>
        <v>0</v>
      </c>
      <c r="D26" s="88" t="s">
        <v>341</v>
      </c>
      <c r="E26" s="89"/>
      <c r="F26" s="56">
        <f>ROUND(C26*(15/100),2)</f>
        <v>0</v>
      </c>
      <c r="G26" s="88" t="s">
        <v>356</v>
      </c>
      <c r="H26" s="89"/>
      <c r="I26" s="56">
        <f>SUM(C25:C27)</f>
        <v>0</v>
      </c>
      <c r="J26" s="35"/>
    </row>
    <row r="27" spans="1:10" ht="15" customHeight="1">
      <c r="A27" s="88" t="s">
        <v>329</v>
      </c>
      <c r="B27" s="89"/>
      <c r="C27" s="56">
        <f>('Stavební rozpočet'!AK124+'Stavební rozpočet'!AK128+'Stavební rozpočet'!AK133+'Stavební rozpočet'!AK136+'Stavební rozpočet'!AK140)+(F22+I22+F23+I23+I24)</f>
        <v>0</v>
      </c>
      <c r="D27" s="88" t="s">
        <v>342</v>
      </c>
      <c r="E27" s="89"/>
      <c r="F27" s="56">
        <f>ROUND(C27*(21/100),2)</f>
        <v>0</v>
      </c>
      <c r="G27" s="88" t="s">
        <v>357</v>
      </c>
      <c r="H27" s="89"/>
      <c r="I27" s="56">
        <f>SUM(F26:F27)+I26</f>
        <v>0</v>
      </c>
      <c r="J27" s="35"/>
    </row>
    <row r="28" spans="1:9" ht="12.75">
      <c r="A28" s="47"/>
      <c r="B28" s="47"/>
      <c r="C28" s="47"/>
      <c r="D28" s="47"/>
      <c r="E28" s="47"/>
      <c r="F28" s="47"/>
      <c r="G28" s="47"/>
      <c r="H28" s="47"/>
      <c r="I28" s="47"/>
    </row>
    <row r="29" spans="1:10" ht="14.25" customHeight="1">
      <c r="A29" s="90" t="s">
        <v>330</v>
      </c>
      <c r="B29" s="91"/>
      <c r="C29" s="92"/>
      <c r="D29" s="90" t="s">
        <v>343</v>
      </c>
      <c r="E29" s="91"/>
      <c r="F29" s="92"/>
      <c r="G29" s="90" t="s">
        <v>358</v>
      </c>
      <c r="H29" s="91"/>
      <c r="I29" s="92"/>
      <c r="J29" s="36"/>
    </row>
    <row r="30" spans="1:10" ht="14.25" customHeight="1">
      <c r="A30" s="93"/>
      <c r="B30" s="94"/>
      <c r="C30" s="95"/>
      <c r="D30" s="93"/>
      <c r="E30" s="94"/>
      <c r="F30" s="95"/>
      <c r="G30" s="93"/>
      <c r="H30" s="94"/>
      <c r="I30" s="95"/>
      <c r="J30" s="36"/>
    </row>
    <row r="31" spans="1:10" ht="14.25" customHeight="1">
      <c r="A31" s="93"/>
      <c r="B31" s="94"/>
      <c r="C31" s="95"/>
      <c r="D31" s="93"/>
      <c r="E31" s="94"/>
      <c r="F31" s="95"/>
      <c r="G31" s="93"/>
      <c r="H31" s="94"/>
      <c r="I31" s="95"/>
      <c r="J31" s="36"/>
    </row>
    <row r="32" spans="1:10" ht="14.25" customHeight="1">
      <c r="A32" s="93"/>
      <c r="B32" s="94"/>
      <c r="C32" s="95"/>
      <c r="D32" s="93"/>
      <c r="E32" s="94"/>
      <c r="F32" s="95"/>
      <c r="G32" s="93"/>
      <c r="H32" s="94"/>
      <c r="I32" s="95"/>
      <c r="J32" s="36"/>
    </row>
    <row r="33" spans="1:10" ht="14.25" customHeight="1">
      <c r="A33" s="96" t="s">
        <v>331</v>
      </c>
      <c r="B33" s="97"/>
      <c r="C33" s="98"/>
      <c r="D33" s="96" t="s">
        <v>331</v>
      </c>
      <c r="E33" s="97"/>
      <c r="F33" s="98"/>
      <c r="G33" s="96" t="s">
        <v>331</v>
      </c>
      <c r="H33" s="97"/>
      <c r="I33" s="98"/>
      <c r="J33" s="36"/>
    </row>
    <row r="34" spans="1:9" ht="11.25" customHeight="1">
      <c r="A34" s="48" t="s">
        <v>71</v>
      </c>
      <c r="B34" s="50"/>
      <c r="C34" s="50"/>
      <c r="D34" s="50"/>
      <c r="E34" s="50"/>
      <c r="F34" s="50"/>
      <c r="G34" s="50"/>
      <c r="H34" s="50"/>
      <c r="I34" s="50"/>
    </row>
    <row r="35" spans="1:9" ht="409.5" customHeight="1" hidden="1">
      <c r="A35" s="72"/>
      <c r="B35" s="67"/>
      <c r="C35" s="67"/>
      <c r="D35" s="67"/>
      <c r="E35" s="67"/>
      <c r="F35" s="67"/>
      <c r="G35" s="67"/>
      <c r="H35" s="67"/>
      <c r="I35" s="67"/>
    </row>
  </sheetData>
  <sheetProtection/>
  <mergeCells count="80">
    <mergeCell ref="A33:C33"/>
    <mergeCell ref="D33:F33"/>
    <mergeCell ref="G33:I33"/>
    <mergeCell ref="A35:I35"/>
    <mergeCell ref="A31:C31"/>
    <mergeCell ref="D31:F31"/>
    <mergeCell ref="G31:I31"/>
    <mergeCell ref="A32:C32"/>
    <mergeCell ref="D32:F32"/>
    <mergeCell ref="G32:I32"/>
    <mergeCell ref="A29:C29"/>
    <mergeCell ref="D29:F29"/>
    <mergeCell ref="G29:I29"/>
    <mergeCell ref="A30:C30"/>
    <mergeCell ref="D30:F30"/>
    <mergeCell ref="G30:I30"/>
    <mergeCell ref="A25:B25"/>
    <mergeCell ref="A26:B26"/>
    <mergeCell ref="D26:E26"/>
    <mergeCell ref="G26:H26"/>
    <mergeCell ref="A27:B27"/>
    <mergeCell ref="D27:E27"/>
    <mergeCell ref="G27:H27"/>
    <mergeCell ref="A21:B21"/>
    <mergeCell ref="D21:E21"/>
    <mergeCell ref="G21:H21"/>
    <mergeCell ref="A22:B22"/>
    <mergeCell ref="D22:E22"/>
    <mergeCell ref="G22:H22"/>
    <mergeCell ref="G23:H23"/>
    <mergeCell ref="D18:E18"/>
    <mergeCell ref="G18:H18"/>
    <mergeCell ref="D19:E19"/>
    <mergeCell ref="G19:H19"/>
    <mergeCell ref="H13:I13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D14:E14"/>
    <mergeCell ref="G14:H14"/>
    <mergeCell ref="A10:B11"/>
    <mergeCell ref="C10:D11"/>
    <mergeCell ref="E10:E11"/>
    <mergeCell ref="F10:G11"/>
    <mergeCell ref="H10:H11"/>
    <mergeCell ref="A12:I12"/>
    <mergeCell ref="B13:C13"/>
    <mergeCell ref="E13:F13"/>
    <mergeCell ref="E6:E7"/>
    <mergeCell ref="F6:G7"/>
    <mergeCell ref="I10:I11"/>
    <mergeCell ref="A8:B9"/>
    <mergeCell ref="C8:D9"/>
    <mergeCell ref="E8:E9"/>
    <mergeCell ref="F8:G9"/>
    <mergeCell ref="H8:H9"/>
    <mergeCell ref="I8:I9"/>
    <mergeCell ref="H6:H7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selection activeCell="A12" sqref="A12:I12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58.5" customHeight="1">
      <c r="A1" s="57"/>
      <c r="B1" s="43"/>
      <c r="C1" s="62" t="s">
        <v>365</v>
      </c>
      <c r="D1" s="63"/>
      <c r="E1" s="63"/>
      <c r="F1" s="63"/>
      <c r="G1" s="63"/>
      <c r="H1" s="63"/>
      <c r="I1" s="63"/>
    </row>
    <row r="2" spans="1:10" ht="12.75" customHeight="1">
      <c r="A2" s="64" t="s">
        <v>1</v>
      </c>
      <c r="B2" s="65"/>
      <c r="C2" s="68" t="s">
        <v>364</v>
      </c>
      <c r="D2" s="69"/>
      <c r="E2" s="71" t="s">
        <v>264</v>
      </c>
      <c r="F2" s="71"/>
      <c r="G2" s="65"/>
      <c r="H2" s="71" t="s">
        <v>359</v>
      </c>
      <c r="I2" s="58"/>
      <c r="J2" s="35"/>
    </row>
    <row r="3" spans="1:10" ht="24.75" customHeight="1">
      <c r="A3" s="66"/>
      <c r="B3" s="67"/>
      <c r="C3" s="70"/>
      <c r="D3" s="70"/>
      <c r="E3" s="67"/>
      <c r="F3" s="67"/>
      <c r="G3" s="67"/>
      <c r="H3" s="67"/>
      <c r="I3" s="59"/>
      <c r="J3" s="35"/>
    </row>
    <row r="4" spans="1:10" ht="12.75">
      <c r="A4" s="74" t="s">
        <v>2</v>
      </c>
      <c r="B4" s="67"/>
      <c r="C4" s="72" t="s">
        <v>149</v>
      </c>
      <c r="D4" s="67"/>
      <c r="E4" s="72" t="s">
        <v>265</v>
      </c>
      <c r="F4" s="72"/>
      <c r="G4" s="67"/>
      <c r="H4" s="72" t="s">
        <v>359</v>
      </c>
      <c r="I4" s="73"/>
      <c r="J4" s="35"/>
    </row>
    <row r="5" spans="1:10" ht="12.75">
      <c r="A5" s="66"/>
      <c r="B5" s="67"/>
      <c r="C5" s="67"/>
      <c r="D5" s="67"/>
      <c r="E5" s="67"/>
      <c r="F5" s="67"/>
      <c r="G5" s="67"/>
      <c r="H5" s="67"/>
      <c r="I5" s="59"/>
      <c r="J5" s="35"/>
    </row>
    <row r="6" spans="1:10" ht="12.75">
      <c r="A6" s="74" t="s">
        <v>3</v>
      </c>
      <c r="B6" s="67"/>
      <c r="C6" s="72" t="s">
        <v>150</v>
      </c>
      <c r="D6" s="67"/>
      <c r="E6" s="72" t="s">
        <v>266</v>
      </c>
      <c r="F6" s="72"/>
      <c r="G6" s="67"/>
      <c r="H6" s="72" t="s">
        <v>359</v>
      </c>
      <c r="I6" s="73"/>
      <c r="J6" s="35"/>
    </row>
    <row r="7" spans="1:10" ht="12.75">
      <c r="A7" s="66"/>
      <c r="B7" s="67"/>
      <c r="C7" s="67"/>
      <c r="D7" s="67"/>
      <c r="E7" s="67"/>
      <c r="F7" s="67"/>
      <c r="G7" s="67"/>
      <c r="H7" s="67"/>
      <c r="I7" s="59"/>
      <c r="J7" s="35"/>
    </row>
    <row r="8" spans="1:10" ht="12.75">
      <c r="A8" s="74" t="s">
        <v>247</v>
      </c>
      <c r="B8" s="67"/>
      <c r="C8" s="77" t="s">
        <v>6</v>
      </c>
      <c r="D8" s="67"/>
      <c r="E8" s="72" t="s">
        <v>248</v>
      </c>
      <c r="F8" s="67"/>
      <c r="G8" s="67"/>
      <c r="H8" s="77" t="s">
        <v>360</v>
      </c>
      <c r="I8" s="73" t="s">
        <v>30</v>
      </c>
      <c r="J8" s="35"/>
    </row>
    <row r="9" spans="1:10" ht="12.75">
      <c r="A9" s="66"/>
      <c r="B9" s="67"/>
      <c r="C9" s="67"/>
      <c r="D9" s="67"/>
      <c r="E9" s="67"/>
      <c r="F9" s="67"/>
      <c r="G9" s="67"/>
      <c r="H9" s="67"/>
      <c r="I9" s="59"/>
      <c r="J9" s="35"/>
    </row>
    <row r="10" spans="1:10" ht="12.75">
      <c r="A10" s="74" t="s">
        <v>4</v>
      </c>
      <c r="B10" s="67"/>
      <c r="C10" s="72">
        <v>8272111</v>
      </c>
      <c r="D10" s="67"/>
      <c r="E10" s="72" t="s">
        <v>267</v>
      </c>
      <c r="F10" s="72" t="s">
        <v>269</v>
      </c>
      <c r="G10" s="67"/>
      <c r="H10" s="77" t="s">
        <v>361</v>
      </c>
      <c r="I10" s="75">
        <v>42765</v>
      </c>
      <c r="J10" s="35"/>
    </row>
    <row r="11" spans="1:10" ht="12.75">
      <c r="A11" s="80"/>
      <c r="B11" s="81"/>
      <c r="C11" s="81"/>
      <c r="D11" s="81"/>
      <c r="E11" s="81"/>
      <c r="F11" s="81"/>
      <c r="G11" s="81"/>
      <c r="H11" s="81"/>
      <c r="I11" s="76"/>
      <c r="J11" s="35"/>
    </row>
    <row r="12" spans="1:9" ht="23.25" customHeight="1">
      <c r="A12" s="82" t="s">
        <v>320</v>
      </c>
      <c r="B12" s="83"/>
      <c r="C12" s="83"/>
      <c r="D12" s="83"/>
      <c r="E12" s="83"/>
      <c r="F12" s="83"/>
      <c r="G12" s="83"/>
      <c r="H12" s="83"/>
      <c r="I12" s="83"/>
    </row>
    <row r="13" spans="1:10" ht="26.25" customHeight="1">
      <c r="A13" s="44" t="s">
        <v>321</v>
      </c>
      <c r="B13" s="84" t="s">
        <v>332</v>
      </c>
      <c r="C13" s="85"/>
      <c r="D13" s="44" t="s">
        <v>335</v>
      </c>
      <c r="E13" s="84" t="s">
        <v>344</v>
      </c>
      <c r="F13" s="85"/>
      <c r="G13" s="44" t="s">
        <v>345</v>
      </c>
      <c r="H13" s="84" t="s">
        <v>362</v>
      </c>
      <c r="I13" s="85"/>
      <c r="J13" s="35"/>
    </row>
    <row r="14" spans="1:10" ht="15" customHeight="1">
      <c r="A14" s="45" t="s">
        <v>322</v>
      </c>
      <c r="B14" s="49" t="s">
        <v>333</v>
      </c>
      <c r="C14" s="53">
        <f>SUMIF('Stavební rozpočet'!Y12:Y141,"001",'Stavební rozpočet'!R12:R141)</f>
        <v>0</v>
      </c>
      <c r="D14" s="78" t="s">
        <v>336</v>
      </c>
      <c r="E14" s="79"/>
      <c r="F14" s="53">
        <v>0</v>
      </c>
      <c r="G14" s="78" t="s">
        <v>346</v>
      </c>
      <c r="H14" s="79"/>
      <c r="I14" s="53">
        <v>0</v>
      </c>
      <c r="J14" s="35"/>
    </row>
    <row r="15" spans="1:10" ht="15" customHeight="1">
      <c r="A15" s="46"/>
      <c r="B15" s="49" t="s">
        <v>268</v>
      </c>
      <c r="C15" s="53">
        <f>SUMIF('Stavební rozpočet'!Y12:Y141,"001",'Stavební rozpočet'!S12:S141)</f>
        <v>0</v>
      </c>
      <c r="D15" s="78" t="s">
        <v>337</v>
      </c>
      <c r="E15" s="79"/>
      <c r="F15" s="53">
        <v>0</v>
      </c>
      <c r="G15" s="78" t="s">
        <v>347</v>
      </c>
      <c r="H15" s="79"/>
      <c r="I15" s="53">
        <v>0</v>
      </c>
      <c r="J15" s="35"/>
    </row>
    <row r="16" spans="1:10" ht="15" customHeight="1">
      <c r="A16" s="45" t="s">
        <v>323</v>
      </c>
      <c r="B16" s="49" t="s">
        <v>333</v>
      </c>
      <c r="C16" s="53">
        <f>SUMIF('Stavební rozpočet'!Y12:Y141,"001",'Stavební rozpočet'!T12:T141)</f>
        <v>0</v>
      </c>
      <c r="D16" s="78" t="s">
        <v>338</v>
      </c>
      <c r="E16" s="79"/>
      <c r="F16" s="53">
        <v>0</v>
      </c>
      <c r="G16" s="78" t="s">
        <v>348</v>
      </c>
      <c r="H16" s="79"/>
      <c r="I16" s="53">
        <v>0</v>
      </c>
      <c r="J16" s="35"/>
    </row>
    <row r="17" spans="1:10" ht="15" customHeight="1">
      <c r="A17" s="46"/>
      <c r="B17" s="49" t="s">
        <v>268</v>
      </c>
      <c r="C17" s="53">
        <f>SUMIF('Stavební rozpočet'!Y12:Y141,"001",'Stavební rozpočet'!U12:U141)</f>
        <v>0</v>
      </c>
      <c r="D17" s="78"/>
      <c r="E17" s="79"/>
      <c r="F17" s="54"/>
      <c r="G17" s="78" t="s">
        <v>349</v>
      </c>
      <c r="H17" s="79"/>
      <c r="I17" s="53">
        <v>0</v>
      </c>
      <c r="J17" s="35"/>
    </row>
    <row r="18" spans="1:10" ht="15" customHeight="1">
      <c r="A18" s="45" t="s">
        <v>324</v>
      </c>
      <c r="B18" s="49" t="s">
        <v>333</v>
      </c>
      <c r="C18" s="53">
        <f>SUMIF('Stavební rozpočet'!Y12:Y141,"001",'Stavební rozpočet'!V12:V141)</f>
        <v>0</v>
      </c>
      <c r="D18" s="78"/>
      <c r="E18" s="79"/>
      <c r="F18" s="54"/>
      <c r="G18" s="78" t="s">
        <v>350</v>
      </c>
      <c r="H18" s="79"/>
      <c r="I18" s="53">
        <v>0</v>
      </c>
      <c r="J18" s="35"/>
    </row>
    <row r="19" spans="1:10" ht="15" customHeight="1">
      <c r="A19" s="46"/>
      <c r="B19" s="49" t="s">
        <v>268</v>
      </c>
      <c r="C19" s="53">
        <f>SUMIF('Stavební rozpočet'!Y12:Y141,"001",'Stavební rozpočet'!W12:W141)</f>
        <v>0</v>
      </c>
      <c r="D19" s="78"/>
      <c r="E19" s="79"/>
      <c r="F19" s="54"/>
      <c r="G19" s="78" t="s">
        <v>351</v>
      </c>
      <c r="H19" s="79"/>
      <c r="I19" s="53">
        <v>0</v>
      </c>
      <c r="J19" s="35"/>
    </row>
    <row r="20" spans="1:10" ht="15" customHeight="1">
      <c r="A20" s="86" t="s">
        <v>185</v>
      </c>
      <c r="B20" s="87"/>
      <c r="C20" s="53">
        <f>SUMIF('Stavební rozpočet'!Y12:Y141,"001",'Stavební rozpočet'!X12:X141)</f>
        <v>0</v>
      </c>
      <c r="D20" s="78"/>
      <c r="E20" s="79"/>
      <c r="F20" s="54"/>
      <c r="G20" s="78"/>
      <c r="H20" s="79"/>
      <c r="I20" s="54"/>
      <c r="J20" s="35"/>
    </row>
    <row r="21" spans="1:10" ht="15" customHeight="1">
      <c r="A21" s="86" t="s">
        <v>325</v>
      </c>
      <c r="B21" s="87"/>
      <c r="C21" s="53">
        <f>SUMIF('Stavební rozpočet'!Y12:Y141,"001",'Stavební rozpočet'!P12:P141)</f>
        <v>0</v>
      </c>
      <c r="D21" s="78"/>
      <c r="E21" s="79"/>
      <c r="F21" s="54"/>
      <c r="G21" s="78"/>
      <c r="H21" s="79"/>
      <c r="I21" s="54"/>
      <c r="J21" s="35"/>
    </row>
    <row r="22" spans="1:10" ht="16.5" customHeight="1">
      <c r="A22" s="86" t="s">
        <v>326</v>
      </c>
      <c r="B22" s="87"/>
      <c r="C22" s="53">
        <f>SUM(C14:C21)</f>
        <v>0</v>
      </c>
      <c r="D22" s="86" t="s">
        <v>339</v>
      </c>
      <c r="E22" s="87"/>
      <c r="F22" s="53">
        <f>SUM(F14:F21)</f>
        <v>0</v>
      </c>
      <c r="G22" s="86" t="s">
        <v>352</v>
      </c>
      <c r="H22" s="87"/>
      <c r="I22" s="53">
        <f>SUM(I14:I21)</f>
        <v>0</v>
      </c>
      <c r="J22" s="35"/>
    </row>
    <row r="23" spans="1:10" ht="15" customHeight="1">
      <c r="A23" s="9"/>
      <c r="B23" s="9"/>
      <c r="C23" s="9"/>
      <c r="D23" s="9"/>
      <c r="E23" s="9"/>
      <c r="F23" s="51"/>
      <c r="G23" s="86" t="s">
        <v>354</v>
      </c>
      <c r="H23" s="87"/>
      <c r="I23" s="53">
        <v>0</v>
      </c>
      <c r="J23" s="35"/>
    </row>
    <row r="24" spans="1:9" ht="12.75">
      <c r="A24" s="43"/>
      <c r="B24" s="43"/>
      <c r="C24" s="43"/>
      <c r="G24" s="9"/>
      <c r="H24" s="9"/>
      <c r="I24" s="9"/>
    </row>
    <row r="25" spans="1:9" ht="15" customHeight="1">
      <c r="A25" s="88" t="s">
        <v>327</v>
      </c>
      <c r="B25" s="89"/>
      <c r="C25" s="56">
        <f>('Stavební rozpočet'!AI13+'Stavební rozpočet'!AI16+'Stavební rozpočet'!AI20+'Stavební rozpočet'!AI22+'Stavební rozpočet'!AI25+'Stavební rozpočet'!AI28+'Stavební rozpočet'!AI31+'Stavební rozpočet'!AI37+'Stavební rozpočet'!AI41+'Stavební rozpočet'!AI44)</f>
        <v>0</v>
      </c>
      <c r="D25" s="52"/>
      <c r="E25" s="43"/>
      <c r="F25" s="43"/>
      <c r="G25" s="43"/>
      <c r="H25" s="43"/>
      <c r="I25" s="43"/>
    </row>
    <row r="26" spans="1:10" ht="15" customHeight="1">
      <c r="A26" s="88" t="s">
        <v>328</v>
      </c>
      <c r="B26" s="89"/>
      <c r="C26" s="56">
        <f>('Stavební rozpočet'!AJ13+'Stavební rozpočet'!AJ16+'Stavební rozpočet'!AJ20+'Stavební rozpočet'!AJ22+'Stavební rozpočet'!AJ25+'Stavební rozpočet'!AJ28+'Stavební rozpočet'!AJ31+'Stavební rozpočet'!AJ37+'Stavební rozpočet'!AJ41+'Stavební rozpočet'!AJ44)</f>
        <v>0</v>
      </c>
      <c r="D26" s="88" t="s">
        <v>341</v>
      </c>
      <c r="E26" s="89"/>
      <c r="F26" s="56">
        <f>ROUND(C26*(15/100),2)</f>
        <v>0</v>
      </c>
      <c r="G26" s="88" t="s">
        <v>356</v>
      </c>
      <c r="H26" s="89"/>
      <c r="I26" s="56">
        <f>SUM(C25:C27)</f>
        <v>0</v>
      </c>
      <c r="J26" s="35"/>
    </row>
    <row r="27" spans="1:10" ht="15" customHeight="1">
      <c r="A27" s="88" t="s">
        <v>329</v>
      </c>
      <c r="B27" s="89"/>
      <c r="C27" s="56">
        <f>('Stavební rozpočet'!AK13+'Stavební rozpočet'!AK16+'Stavební rozpočet'!AK20+'Stavební rozpočet'!AK22+'Stavební rozpočet'!AK25+'Stavební rozpočet'!AK28+'Stavební rozpočet'!AK31+'Stavební rozpočet'!AK37+'Stavební rozpočet'!AK41+'Stavební rozpočet'!AK44)+(F22+I22+F23+I23+I24)</f>
        <v>0</v>
      </c>
      <c r="D27" s="88" t="s">
        <v>342</v>
      </c>
      <c r="E27" s="89"/>
      <c r="F27" s="56">
        <f>ROUND(C27*(21/100),2)</f>
        <v>0</v>
      </c>
      <c r="G27" s="88" t="s">
        <v>357</v>
      </c>
      <c r="H27" s="89"/>
      <c r="I27" s="56">
        <f>SUM(F26:F27)+I26</f>
        <v>0</v>
      </c>
      <c r="J27" s="35"/>
    </row>
    <row r="28" spans="1:9" ht="12.75">
      <c r="A28" s="47"/>
      <c r="B28" s="47"/>
      <c r="C28" s="47"/>
      <c r="D28" s="47"/>
      <c r="E28" s="47"/>
      <c r="F28" s="47"/>
      <c r="G28" s="47"/>
      <c r="H28" s="47"/>
      <c r="I28" s="47"/>
    </row>
    <row r="29" spans="1:10" ht="14.25" customHeight="1">
      <c r="A29" s="90" t="s">
        <v>330</v>
      </c>
      <c r="B29" s="91"/>
      <c r="C29" s="92"/>
      <c r="D29" s="90" t="s">
        <v>343</v>
      </c>
      <c r="E29" s="91"/>
      <c r="F29" s="92"/>
      <c r="G29" s="90" t="s">
        <v>358</v>
      </c>
      <c r="H29" s="91"/>
      <c r="I29" s="92"/>
      <c r="J29" s="36"/>
    </row>
    <row r="30" spans="1:10" ht="14.25" customHeight="1">
      <c r="A30" s="93"/>
      <c r="B30" s="94"/>
      <c r="C30" s="95"/>
      <c r="D30" s="93"/>
      <c r="E30" s="94"/>
      <c r="F30" s="95"/>
      <c r="G30" s="93"/>
      <c r="H30" s="94"/>
      <c r="I30" s="95"/>
      <c r="J30" s="36"/>
    </row>
    <row r="31" spans="1:10" ht="14.25" customHeight="1">
      <c r="A31" s="93"/>
      <c r="B31" s="94"/>
      <c r="C31" s="95"/>
      <c r="D31" s="93"/>
      <c r="E31" s="94"/>
      <c r="F31" s="95"/>
      <c r="G31" s="93"/>
      <c r="H31" s="94"/>
      <c r="I31" s="95"/>
      <c r="J31" s="36"/>
    </row>
    <row r="32" spans="1:10" ht="14.25" customHeight="1">
      <c r="A32" s="93"/>
      <c r="B32" s="94"/>
      <c r="C32" s="95"/>
      <c r="D32" s="93"/>
      <c r="E32" s="94"/>
      <c r="F32" s="95"/>
      <c r="G32" s="93"/>
      <c r="H32" s="94"/>
      <c r="I32" s="95"/>
      <c r="J32" s="36"/>
    </row>
    <row r="33" spans="1:10" ht="14.25" customHeight="1">
      <c r="A33" s="96" t="s">
        <v>331</v>
      </c>
      <c r="B33" s="97"/>
      <c r="C33" s="98"/>
      <c r="D33" s="96" t="s">
        <v>331</v>
      </c>
      <c r="E33" s="97"/>
      <c r="F33" s="98"/>
      <c r="G33" s="96" t="s">
        <v>331</v>
      </c>
      <c r="H33" s="97"/>
      <c r="I33" s="98"/>
      <c r="J33" s="36"/>
    </row>
    <row r="34" spans="1:9" ht="11.25" customHeight="1">
      <c r="A34" s="48" t="s">
        <v>71</v>
      </c>
      <c r="B34" s="50"/>
      <c r="C34" s="50"/>
      <c r="D34" s="50"/>
      <c r="E34" s="50"/>
      <c r="F34" s="50"/>
      <c r="G34" s="50"/>
      <c r="H34" s="50"/>
      <c r="I34" s="50"/>
    </row>
    <row r="35" spans="1:9" ht="409.5" customHeight="1" hidden="1">
      <c r="A35" s="72"/>
      <c r="B35" s="67"/>
      <c r="C35" s="67"/>
      <c r="D35" s="67"/>
      <c r="E35" s="67"/>
      <c r="F35" s="67"/>
      <c r="G35" s="67"/>
      <c r="H35" s="67"/>
      <c r="I35" s="67"/>
    </row>
  </sheetData>
  <sheetProtection/>
  <mergeCells count="80">
    <mergeCell ref="A33:C33"/>
    <mergeCell ref="D33:F33"/>
    <mergeCell ref="G33:I33"/>
    <mergeCell ref="A35:I35"/>
    <mergeCell ref="A31:C31"/>
    <mergeCell ref="D31:F31"/>
    <mergeCell ref="G31:I31"/>
    <mergeCell ref="A32:C32"/>
    <mergeCell ref="D32:F32"/>
    <mergeCell ref="G32:I32"/>
    <mergeCell ref="A29:C29"/>
    <mergeCell ref="D29:F29"/>
    <mergeCell ref="G29:I29"/>
    <mergeCell ref="A30:C30"/>
    <mergeCell ref="D30:F30"/>
    <mergeCell ref="G30:I30"/>
    <mergeCell ref="A25:B25"/>
    <mergeCell ref="A26:B26"/>
    <mergeCell ref="D26:E26"/>
    <mergeCell ref="G26:H26"/>
    <mergeCell ref="A27:B27"/>
    <mergeCell ref="D27:E27"/>
    <mergeCell ref="G27:H27"/>
    <mergeCell ref="A21:B21"/>
    <mergeCell ref="D21:E21"/>
    <mergeCell ref="G21:H21"/>
    <mergeCell ref="A22:B22"/>
    <mergeCell ref="D22:E22"/>
    <mergeCell ref="G22:H22"/>
    <mergeCell ref="G23:H23"/>
    <mergeCell ref="D18:E18"/>
    <mergeCell ref="G18:H18"/>
    <mergeCell ref="D19:E19"/>
    <mergeCell ref="G19:H19"/>
    <mergeCell ref="H13:I13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D14:E14"/>
    <mergeCell ref="G14:H14"/>
    <mergeCell ref="A10:B11"/>
    <mergeCell ref="C10:D11"/>
    <mergeCell ref="E10:E11"/>
    <mergeCell ref="F10:G11"/>
    <mergeCell ref="H10:H11"/>
    <mergeCell ref="A12:I12"/>
    <mergeCell ref="B13:C13"/>
    <mergeCell ref="E13:F13"/>
    <mergeCell ref="E6:E7"/>
    <mergeCell ref="F6:G7"/>
    <mergeCell ref="I10:I11"/>
    <mergeCell ref="A8:B9"/>
    <mergeCell ref="C8:D9"/>
    <mergeCell ref="E8:E9"/>
    <mergeCell ref="F8:G9"/>
    <mergeCell ref="H8:H9"/>
    <mergeCell ref="I8:I9"/>
    <mergeCell ref="H6:H7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selection activeCell="A12" sqref="A12:I12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48" customHeight="1">
      <c r="A1" s="57"/>
      <c r="B1" s="43"/>
      <c r="C1" s="62" t="s">
        <v>367</v>
      </c>
      <c r="D1" s="63"/>
      <c r="E1" s="63"/>
      <c r="F1" s="63"/>
      <c r="G1" s="63"/>
      <c r="H1" s="63"/>
      <c r="I1" s="63"/>
    </row>
    <row r="2" spans="1:10" ht="12.75" customHeight="1">
      <c r="A2" s="64" t="s">
        <v>1</v>
      </c>
      <c r="B2" s="65"/>
      <c r="C2" s="68" t="s">
        <v>364</v>
      </c>
      <c r="D2" s="69"/>
      <c r="E2" s="71" t="s">
        <v>264</v>
      </c>
      <c r="F2" s="71"/>
      <c r="G2" s="65"/>
      <c r="H2" s="71" t="s">
        <v>359</v>
      </c>
      <c r="I2" s="58"/>
      <c r="J2" s="35"/>
    </row>
    <row r="3" spans="1:10" ht="24.75" customHeight="1">
      <c r="A3" s="66"/>
      <c r="B3" s="67"/>
      <c r="C3" s="70"/>
      <c r="D3" s="70"/>
      <c r="E3" s="67"/>
      <c r="F3" s="67"/>
      <c r="G3" s="67"/>
      <c r="H3" s="67"/>
      <c r="I3" s="59"/>
      <c r="J3" s="35"/>
    </row>
    <row r="4" spans="1:10" ht="12.75">
      <c r="A4" s="74" t="s">
        <v>2</v>
      </c>
      <c r="B4" s="67"/>
      <c r="C4" s="72" t="s">
        <v>149</v>
      </c>
      <c r="D4" s="67"/>
      <c r="E4" s="72" t="s">
        <v>265</v>
      </c>
      <c r="F4" s="72"/>
      <c r="G4" s="67"/>
      <c r="H4" s="72" t="s">
        <v>359</v>
      </c>
      <c r="I4" s="73"/>
      <c r="J4" s="35"/>
    </row>
    <row r="5" spans="1:10" ht="12.75">
      <c r="A5" s="66"/>
      <c r="B5" s="67"/>
      <c r="C5" s="67"/>
      <c r="D5" s="67"/>
      <c r="E5" s="67"/>
      <c r="F5" s="67"/>
      <c r="G5" s="67"/>
      <c r="H5" s="67"/>
      <c r="I5" s="59"/>
      <c r="J5" s="35"/>
    </row>
    <row r="6" spans="1:10" ht="12.75">
      <c r="A6" s="74" t="s">
        <v>3</v>
      </c>
      <c r="B6" s="67"/>
      <c r="C6" s="72" t="s">
        <v>150</v>
      </c>
      <c r="D6" s="67"/>
      <c r="E6" s="72" t="s">
        <v>266</v>
      </c>
      <c r="F6" s="72"/>
      <c r="G6" s="67"/>
      <c r="H6" s="72" t="s">
        <v>359</v>
      </c>
      <c r="I6" s="73"/>
      <c r="J6" s="35"/>
    </row>
    <row r="7" spans="1:10" ht="12.75">
      <c r="A7" s="66"/>
      <c r="B7" s="67"/>
      <c r="C7" s="67"/>
      <c r="D7" s="67"/>
      <c r="E7" s="67"/>
      <c r="F7" s="67"/>
      <c r="G7" s="67"/>
      <c r="H7" s="67"/>
      <c r="I7" s="59"/>
      <c r="J7" s="35"/>
    </row>
    <row r="8" spans="1:10" ht="12.75">
      <c r="A8" s="74" t="s">
        <v>247</v>
      </c>
      <c r="B8" s="67"/>
      <c r="C8" s="77" t="s">
        <v>6</v>
      </c>
      <c r="D8" s="67"/>
      <c r="E8" s="72" t="s">
        <v>248</v>
      </c>
      <c r="F8" s="67"/>
      <c r="G8" s="67"/>
      <c r="H8" s="77" t="s">
        <v>360</v>
      </c>
      <c r="I8" s="73" t="s">
        <v>35</v>
      </c>
      <c r="J8" s="35"/>
    </row>
    <row r="9" spans="1:10" ht="12.75">
      <c r="A9" s="66"/>
      <c r="B9" s="67"/>
      <c r="C9" s="67"/>
      <c r="D9" s="67"/>
      <c r="E9" s="67"/>
      <c r="F9" s="67"/>
      <c r="G9" s="67"/>
      <c r="H9" s="67"/>
      <c r="I9" s="59"/>
      <c r="J9" s="35"/>
    </row>
    <row r="10" spans="1:10" ht="12.75">
      <c r="A10" s="74" t="s">
        <v>4</v>
      </c>
      <c r="B10" s="67"/>
      <c r="C10" s="72">
        <v>8272111</v>
      </c>
      <c r="D10" s="67"/>
      <c r="E10" s="72" t="s">
        <v>267</v>
      </c>
      <c r="F10" s="72" t="s">
        <v>269</v>
      </c>
      <c r="G10" s="67"/>
      <c r="H10" s="77" t="s">
        <v>361</v>
      </c>
      <c r="I10" s="75">
        <v>42765</v>
      </c>
      <c r="J10" s="35"/>
    </row>
    <row r="11" spans="1:10" ht="12.75">
      <c r="A11" s="80"/>
      <c r="B11" s="81"/>
      <c r="C11" s="81"/>
      <c r="D11" s="81"/>
      <c r="E11" s="81"/>
      <c r="F11" s="81"/>
      <c r="G11" s="81"/>
      <c r="H11" s="81"/>
      <c r="I11" s="76"/>
      <c r="J11" s="35"/>
    </row>
    <row r="12" spans="1:9" ht="23.25" customHeight="1">
      <c r="A12" s="82" t="s">
        <v>320</v>
      </c>
      <c r="B12" s="83"/>
      <c r="C12" s="83"/>
      <c r="D12" s="83"/>
      <c r="E12" s="83"/>
      <c r="F12" s="83"/>
      <c r="G12" s="83"/>
      <c r="H12" s="83"/>
      <c r="I12" s="83"/>
    </row>
    <row r="13" spans="1:10" ht="26.25" customHeight="1">
      <c r="A13" s="44" t="s">
        <v>321</v>
      </c>
      <c r="B13" s="84" t="s">
        <v>332</v>
      </c>
      <c r="C13" s="85"/>
      <c r="D13" s="44" t="s">
        <v>335</v>
      </c>
      <c r="E13" s="84" t="s">
        <v>344</v>
      </c>
      <c r="F13" s="85"/>
      <c r="G13" s="44" t="s">
        <v>345</v>
      </c>
      <c r="H13" s="84" t="s">
        <v>362</v>
      </c>
      <c r="I13" s="85"/>
      <c r="J13" s="35"/>
    </row>
    <row r="14" spans="1:10" ht="15" customHeight="1">
      <c r="A14" s="45" t="s">
        <v>322</v>
      </c>
      <c r="B14" s="49" t="s">
        <v>333</v>
      </c>
      <c r="C14" s="53">
        <f>SUMIF('Stavební rozpočet'!Y12:Y141,"CH",'Stavební rozpočet'!R12:R141)</f>
        <v>0</v>
      </c>
      <c r="D14" s="78" t="s">
        <v>336</v>
      </c>
      <c r="E14" s="79"/>
      <c r="F14" s="53">
        <v>0</v>
      </c>
      <c r="G14" s="78" t="s">
        <v>346</v>
      </c>
      <c r="H14" s="79"/>
      <c r="I14" s="53">
        <v>0</v>
      </c>
      <c r="J14" s="35"/>
    </row>
    <row r="15" spans="1:10" ht="15" customHeight="1">
      <c r="A15" s="46"/>
      <c r="B15" s="49" t="s">
        <v>268</v>
      </c>
      <c r="C15" s="53">
        <f>SUMIF('Stavební rozpočet'!Y12:Y141,"CH",'Stavební rozpočet'!S12:S141)</f>
        <v>0</v>
      </c>
      <c r="D15" s="78" t="s">
        <v>337</v>
      </c>
      <c r="E15" s="79"/>
      <c r="F15" s="53">
        <v>0</v>
      </c>
      <c r="G15" s="78" t="s">
        <v>347</v>
      </c>
      <c r="H15" s="79"/>
      <c r="I15" s="53">
        <v>0</v>
      </c>
      <c r="J15" s="35"/>
    </row>
    <row r="16" spans="1:10" ht="15" customHeight="1">
      <c r="A16" s="45" t="s">
        <v>323</v>
      </c>
      <c r="B16" s="49" t="s">
        <v>333</v>
      </c>
      <c r="C16" s="53">
        <f>SUMIF('Stavební rozpočet'!Y12:Y141,"CH",'Stavební rozpočet'!T12:T141)</f>
        <v>0</v>
      </c>
      <c r="D16" s="78" t="s">
        <v>338</v>
      </c>
      <c r="E16" s="79"/>
      <c r="F16" s="53">
        <v>0</v>
      </c>
      <c r="G16" s="78" t="s">
        <v>348</v>
      </c>
      <c r="H16" s="79"/>
      <c r="I16" s="53">
        <v>0</v>
      </c>
      <c r="J16" s="35"/>
    </row>
    <row r="17" spans="1:10" ht="15" customHeight="1">
      <c r="A17" s="46"/>
      <c r="B17" s="49" t="s">
        <v>268</v>
      </c>
      <c r="C17" s="53">
        <f>SUMIF('Stavební rozpočet'!Y12:Y141,"CH",'Stavební rozpočet'!U12:U141)</f>
        <v>0</v>
      </c>
      <c r="D17" s="78"/>
      <c r="E17" s="79"/>
      <c r="F17" s="54"/>
      <c r="G17" s="78" t="s">
        <v>349</v>
      </c>
      <c r="H17" s="79"/>
      <c r="I17" s="53">
        <v>0</v>
      </c>
      <c r="J17" s="35"/>
    </row>
    <row r="18" spans="1:10" ht="15" customHeight="1">
      <c r="A18" s="45" t="s">
        <v>324</v>
      </c>
      <c r="B18" s="49" t="s">
        <v>333</v>
      </c>
      <c r="C18" s="53">
        <f>SUMIF('Stavební rozpočet'!Y12:Y141,"CH",'Stavební rozpočet'!V12:V141)</f>
        <v>0</v>
      </c>
      <c r="D18" s="78"/>
      <c r="E18" s="79"/>
      <c r="F18" s="54"/>
      <c r="G18" s="78" t="s">
        <v>350</v>
      </c>
      <c r="H18" s="79"/>
      <c r="I18" s="53">
        <v>0</v>
      </c>
      <c r="J18" s="35"/>
    </row>
    <row r="19" spans="1:10" ht="15" customHeight="1">
      <c r="A19" s="46"/>
      <c r="B19" s="49" t="s">
        <v>268</v>
      </c>
      <c r="C19" s="53">
        <f>SUMIF('Stavební rozpočet'!Y12:Y141,"CH",'Stavební rozpočet'!W12:W141)</f>
        <v>0</v>
      </c>
      <c r="D19" s="78"/>
      <c r="E19" s="79"/>
      <c r="F19" s="54"/>
      <c r="G19" s="78" t="s">
        <v>351</v>
      </c>
      <c r="H19" s="79"/>
      <c r="I19" s="53">
        <v>0</v>
      </c>
      <c r="J19" s="35"/>
    </row>
    <row r="20" spans="1:10" ht="15" customHeight="1">
      <c r="A20" s="86" t="s">
        <v>185</v>
      </c>
      <c r="B20" s="87"/>
      <c r="C20" s="53">
        <f>SUMIF('Stavební rozpočet'!Y12:Y141,"CH",'Stavební rozpočet'!X12:X141)</f>
        <v>0</v>
      </c>
      <c r="D20" s="78"/>
      <c r="E20" s="79"/>
      <c r="F20" s="54"/>
      <c r="G20" s="78"/>
      <c r="H20" s="79"/>
      <c r="I20" s="54"/>
      <c r="J20" s="35"/>
    </row>
    <row r="21" spans="1:10" ht="15" customHeight="1">
      <c r="A21" s="86" t="s">
        <v>325</v>
      </c>
      <c r="B21" s="87"/>
      <c r="C21" s="53">
        <f>SUMIF('Stavební rozpočet'!Y12:Y141,"CH",'Stavební rozpočet'!P12:P141)</f>
        <v>0</v>
      </c>
      <c r="D21" s="78"/>
      <c r="E21" s="79"/>
      <c r="F21" s="54"/>
      <c r="G21" s="78"/>
      <c r="H21" s="79"/>
      <c r="I21" s="54"/>
      <c r="J21" s="35"/>
    </row>
    <row r="22" spans="1:10" ht="16.5" customHeight="1">
      <c r="A22" s="86" t="s">
        <v>326</v>
      </c>
      <c r="B22" s="87"/>
      <c r="C22" s="53">
        <f>SUM(C14:C21)</f>
        <v>0</v>
      </c>
      <c r="D22" s="86" t="s">
        <v>339</v>
      </c>
      <c r="E22" s="87"/>
      <c r="F22" s="53">
        <f>SUM(F14:F21)</f>
        <v>0</v>
      </c>
      <c r="G22" s="86" t="s">
        <v>352</v>
      </c>
      <c r="H22" s="87"/>
      <c r="I22" s="53">
        <f>SUM(I14:I21)</f>
        <v>0</v>
      </c>
      <c r="J22" s="35"/>
    </row>
    <row r="23" spans="1:10" ht="15" customHeight="1">
      <c r="A23" s="9"/>
      <c r="B23" s="9"/>
      <c r="C23" s="9"/>
      <c r="D23" s="9"/>
      <c r="E23" s="9"/>
      <c r="F23" s="51"/>
      <c r="G23" s="86" t="s">
        <v>354</v>
      </c>
      <c r="H23" s="87"/>
      <c r="I23" s="53">
        <v>0</v>
      </c>
      <c r="J23" s="35"/>
    </row>
    <row r="24" spans="1:9" ht="12.75">
      <c r="A24" s="43"/>
      <c r="B24" s="43"/>
      <c r="C24" s="43"/>
      <c r="G24" s="9"/>
      <c r="H24" s="9"/>
      <c r="I24" s="9"/>
    </row>
    <row r="25" spans="1:9" ht="15" customHeight="1">
      <c r="A25" s="88" t="s">
        <v>327</v>
      </c>
      <c r="B25" s="89"/>
      <c r="C25" s="56">
        <f>('Stavební rozpočet'!AI55+'Stavební rozpočet'!AI59+'Stavební rozpočet'!AI62+'Stavební rozpočet'!AI70+'Stavební rozpočet'!AI72+'Stavební rozpočet'!AI75+'Stavební rozpočet'!AI78+'Stavební rozpočet'!AI81+'Stavební rozpočet'!AI91+'Stavební rozpočet'!AI94+'Stavební rozpočet'!AI99+'Stavební rozpočet'!AI102+'Stavební rozpočet'!AI107+'Stavební rozpočet'!AI109+'Stavební rozpočet'!AI112+'Stavební rozpočet'!AI116)</f>
        <v>0</v>
      </c>
      <c r="D25" s="52"/>
      <c r="E25" s="43"/>
      <c r="F25" s="43"/>
      <c r="G25" s="43"/>
      <c r="H25" s="43"/>
      <c r="I25" s="43"/>
    </row>
    <row r="26" spans="1:10" ht="15" customHeight="1">
      <c r="A26" s="88" t="s">
        <v>328</v>
      </c>
      <c r="B26" s="89"/>
      <c r="C26" s="56">
        <f>('Stavební rozpočet'!AJ55+'Stavební rozpočet'!AJ59+'Stavební rozpočet'!AJ62+'Stavební rozpočet'!AJ70+'Stavební rozpočet'!AJ72+'Stavební rozpočet'!AJ75+'Stavební rozpočet'!AJ78+'Stavební rozpočet'!AJ81+'Stavební rozpočet'!AJ91+'Stavební rozpočet'!AJ94+'Stavební rozpočet'!AJ99+'Stavební rozpočet'!AJ102+'Stavební rozpočet'!AJ107+'Stavební rozpočet'!AJ109+'Stavební rozpočet'!AJ112+'Stavební rozpočet'!AJ116)</f>
        <v>0</v>
      </c>
      <c r="D26" s="88" t="s">
        <v>341</v>
      </c>
      <c r="E26" s="89"/>
      <c r="F26" s="56">
        <f>ROUND(C26*(15/100),2)</f>
        <v>0</v>
      </c>
      <c r="G26" s="88" t="s">
        <v>356</v>
      </c>
      <c r="H26" s="89"/>
      <c r="I26" s="56">
        <f>SUM(C25:C27)</f>
        <v>0</v>
      </c>
      <c r="J26" s="35"/>
    </row>
    <row r="27" spans="1:10" ht="15" customHeight="1">
      <c r="A27" s="88" t="s">
        <v>329</v>
      </c>
      <c r="B27" s="89"/>
      <c r="C27" s="56">
        <f>('Stavební rozpočet'!AK55+'Stavební rozpočet'!AK59+'Stavební rozpočet'!AK62+'Stavební rozpočet'!AK70+'Stavební rozpočet'!AK72+'Stavební rozpočet'!AK75+'Stavební rozpočet'!AK78+'Stavební rozpočet'!AK81+'Stavební rozpočet'!AK91+'Stavební rozpočet'!AK94+'Stavební rozpočet'!AK99+'Stavební rozpočet'!AK102+'Stavební rozpočet'!AK107+'Stavební rozpočet'!AK109+'Stavební rozpočet'!AK112+'Stavební rozpočet'!AK116)+(F22+I22+F23+I23+I24)</f>
        <v>0</v>
      </c>
      <c r="D27" s="88" t="s">
        <v>342</v>
      </c>
      <c r="E27" s="89"/>
      <c r="F27" s="56">
        <f>ROUND(C27*(21/100),2)</f>
        <v>0</v>
      </c>
      <c r="G27" s="88" t="s">
        <v>357</v>
      </c>
      <c r="H27" s="89"/>
      <c r="I27" s="56">
        <f>SUM(F26:F27)+I26</f>
        <v>0</v>
      </c>
      <c r="J27" s="35"/>
    </row>
    <row r="28" spans="1:9" ht="12.75">
      <c r="A28" s="47"/>
      <c r="B28" s="47"/>
      <c r="C28" s="47"/>
      <c r="D28" s="47"/>
      <c r="E28" s="47"/>
      <c r="F28" s="47"/>
      <c r="G28" s="47"/>
      <c r="H28" s="47"/>
      <c r="I28" s="47"/>
    </row>
    <row r="29" spans="1:10" ht="14.25" customHeight="1">
      <c r="A29" s="90" t="s">
        <v>330</v>
      </c>
      <c r="B29" s="91"/>
      <c r="C29" s="92"/>
      <c r="D29" s="90" t="s">
        <v>343</v>
      </c>
      <c r="E29" s="91"/>
      <c r="F29" s="92"/>
      <c r="G29" s="90" t="s">
        <v>358</v>
      </c>
      <c r="H29" s="91"/>
      <c r="I29" s="92"/>
      <c r="J29" s="36"/>
    </row>
    <row r="30" spans="1:10" ht="14.25" customHeight="1">
      <c r="A30" s="93"/>
      <c r="B30" s="94"/>
      <c r="C30" s="95"/>
      <c r="D30" s="93"/>
      <c r="E30" s="94"/>
      <c r="F30" s="95"/>
      <c r="G30" s="93"/>
      <c r="H30" s="94"/>
      <c r="I30" s="95"/>
      <c r="J30" s="36"/>
    </row>
    <row r="31" spans="1:10" ht="14.25" customHeight="1">
      <c r="A31" s="93"/>
      <c r="B31" s="94"/>
      <c r="C31" s="95"/>
      <c r="D31" s="93"/>
      <c r="E31" s="94"/>
      <c r="F31" s="95"/>
      <c r="G31" s="93"/>
      <c r="H31" s="94"/>
      <c r="I31" s="95"/>
      <c r="J31" s="36"/>
    </row>
    <row r="32" spans="1:10" ht="14.25" customHeight="1">
      <c r="A32" s="93"/>
      <c r="B32" s="94"/>
      <c r="C32" s="95"/>
      <c r="D32" s="93"/>
      <c r="E32" s="94"/>
      <c r="F32" s="95"/>
      <c r="G32" s="93"/>
      <c r="H32" s="94"/>
      <c r="I32" s="95"/>
      <c r="J32" s="36"/>
    </row>
    <row r="33" spans="1:10" ht="14.25" customHeight="1">
      <c r="A33" s="96" t="s">
        <v>331</v>
      </c>
      <c r="B33" s="97"/>
      <c r="C33" s="98"/>
      <c r="D33" s="96" t="s">
        <v>331</v>
      </c>
      <c r="E33" s="97"/>
      <c r="F33" s="98"/>
      <c r="G33" s="96" t="s">
        <v>331</v>
      </c>
      <c r="H33" s="97"/>
      <c r="I33" s="98"/>
      <c r="J33" s="36"/>
    </row>
    <row r="34" spans="1:9" ht="11.25" customHeight="1">
      <c r="A34" s="48" t="s">
        <v>71</v>
      </c>
      <c r="B34" s="50"/>
      <c r="C34" s="50"/>
      <c r="D34" s="50"/>
      <c r="E34" s="50"/>
      <c r="F34" s="50"/>
      <c r="G34" s="50"/>
      <c r="H34" s="50"/>
      <c r="I34" s="50"/>
    </row>
    <row r="35" spans="1:9" ht="409.5" customHeight="1" hidden="1">
      <c r="A35" s="72"/>
      <c r="B35" s="67"/>
      <c r="C35" s="67"/>
      <c r="D35" s="67"/>
      <c r="E35" s="67"/>
      <c r="F35" s="67"/>
      <c r="G35" s="67"/>
      <c r="H35" s="67"/>
      <c r="I35" s="67"/>
    </row>
  </sheetData>
  <sheetProtection/>
  <mergeCells count="80">
    <mergeCell ref="A33:C33"/>
    <mergeCell ref="D33:F33"/>
    <mergeCell ref="G33:I33"/>
    <mergeCell ref="A35:I35"/>
    <mergeCell ref="A31:C31"/>
    <mergeCell ref="D31:F31"/>
    <mergeCell ref="G31:I31"/>
    <mergeCell ref="A32:C32"/>
    <mergeCell ref="D32:F32"/>
    <mergeCell ref="G32:I32"/>
    <mergeCell ref="A29:C29"/>
    <mergeCell ref="D29:F29"/>
    <mergeCell ref="G29:I29"/>
    <mergeCell ref="A30:C30"/>
    <mergeCell ref="D30:F30"/>
    <mergeCell ref="G30:I30"/>
    <mergeCell ref="A25:B25"/>
    <mergeCell ref="A26:B26"/>
    <mergeCell ref="D26:E26"/>
    <mergeCell ref="G26:H26"/>
    <mergeCell ref="A27:B27"/>
    <mergeCell ref="D27:E27"/>
    <mergeCell ref="G27:H27"/>
    <mergeCell ref="A21:B21"/>
    <mergeCell ref="D21:E21"/>
    <mergeCell ref="G21:H21"/>
    <mergeCell ref="A22:B22"/>
    <mergeCell ref="D22:E22"/>
    <mergeCell ref="G22:H22"/>
    <mergeCell ref="G23:H23"/>
    <mergeCell ref="D18:E18"/>
    <mergeCell ref="G18:H18"/>
    <mergeCell ref="D19:E19"/>
    <mergeCell ref="G19:H19"/>
    <mergeCell ref="H13:I13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D14:E14"/>
    <mergeCell ref="G14:H14"/>
    <mergeCell ref="A10:B11"/>
    <mergeCell ref="C10:D11"/>
    <mergeCell ref="E10:E11"/>
    <mergeCell ref="F10:G11"/>
    <mergeCell ref="H10:H11"/>
    <mergeCell ref="A12:I12"/>
    <mergeCell ref="B13:C13"/>
    <mergeCell ref="E13:F13"/>
    <mergeCell ref="E6:E7"/>
    <mergeCell ref="F6:G7"/>
    <mergeCell ref="I10:I11"/>
    <mergeCell ref="A8:B9"/>
    <mergeCell ref="C8:D9"/>
    <mergeCell ref="E8:E9"/>
    <mergeCell ref="F8:G9"/>
    <mergeCell ref="H8:H9"/>
    <mergeCell ref="I8:I9"/>
    <mergeCell ref="H6:H7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44"/>
  <sheetViews>
    <sheetView zoomScalePageLayoutView="0" workbookViewId="0" topLeftCell="A1">
      <selection activeCell="G142" sqref="G142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46.28125" style="0" customWidth="1"/>
    <col min="5" max="5" width="4.2812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14" width="0" style="0" hidden="1" customWidth="1"/>
    <col min="15" max="48" width="12.140625" style="0" hidden="1" customWidth="1"/>
  </cols>
  <sheetData>
    <row r="1" spans="1:13" ht="72.75" customHeight="1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4" ht="12.75">
      <c r="A2" s="64" t="s">
        <v>1</v>
      </c>
      <c r="B2" s="65"/>
      <c r="C2" s="65"/>
      <c r="D2" s="101" t="s">
        <v>148</v>
      </c>
      <c r="E2" s="103" t="s">
        <v>246</v>
      </c>
      <c r="F2" s="104"/>
      <c r="G2" s="105"/>
      <c r="H2" s="65"/>
      <c r="I2" s="71" t="s">
        <v>264</v>
      </c>
      <c r="J2" s="71"/>
      <c r="K2" s="65"/>
      <c r="L2" s="65"/>
      <c r="M2" s="106"/>
      <c r="N2" s="35"/>
    </row>
    <row r="3" spans="1:14" ht="12.75">
      <c r="A3" s="66"/>
      <c r="B3" s="67"/>
      <c r="C3" s="67"/>
      <c r="D3" s="102"/>
      <c r="E3" s="102"/>
      <c r="F3" s="102"/>
      <c r="G3" s="67"/>
      <c r="H3" s="67"/>
      <c r="I3" s="67"/>
      <c r="J3" s="67"/>
      <c r="K3" s="67"/>
      <c r="L3" s="67"/>
      <c r="M3" s="59"/>
      <c r="N3" s="35"/>
    </row>
    <row r="4" spans="1:14" ht="12.75">
      <c r="A4" s="74" t="s">
        <v>2</v>
      </c>
      <c r="B4" s="67"/>
      <c r="C4" s="67"/>
      <c r="D4" s="72" t="s">
        <v>149</v>
      </c>
      <c r="E4" s="77" t="s">
        <v>247</v>
      </c>
      <c r="F4" s="67"/>
      <c r="G4" s="77" t="s">
        <v>6</v>
      </c>
      <c r="H4" s="67"/>
      <c r="I4" s="72" t="s">
        <v>265</v>
      </c>
      <c r="J4" s="72"/>
      <c r="K4" s="67"/>
      <c r="L4" s="67"/>
      <c r="M4" s="59"/>
      <c r="N4" s="35"/>
    </row>
    <row r="5" spans="1:14" ht="12.75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59"/>
      <c r="N5" s="35"/>
    </row>
    <row r="6" spans="1:14" ht="12.75">
      <c r="A6" s="74" t="s">
        <v>3</v>
      </c>
      <c r="B6" s="67"/>
      <c r="C6" s="67"/>
      <c r="D6" s="72" t="s">
        <v>150</v>
      </c>
      <c r="E6" s="77" t="s">
        <v>248</v>
      </c>
      <c r="F6" s="67"/>
      <c r="G6" s="67"/>
      <c r="H6" s="67"/>
      <c r="I6" s="72" t="s">
        <v>266</v>
      </c>
      <c r="J6" s="72"/>
      <c r="K6" s="67"/>
      <c r="L6" s="67"/>
      <c r="M6" s="59"/>
      <c r="N6" s="35"/>
    </row>
    <row r="7" spans="1:14" ht="12.75">
      <c r="A7" s="66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59"/>
      <c r="N7" s="35"/>
    </row>
    <row r="8" spans="1:14" ht="12.75">
      <c r="A8" s="74" t="s">
        <v>4</v>
      </c>
      <c r="B8" s="67"/>
      <c r="C8" s="67"/>
      <c r="D8" s="72">
        <v>8272111</v>
      </c>
      <c r="E8" s="77" t="s">
        <v>249</v>
      </c>
      <c r="F8" s="67"/>
      <c r="G8" s="110">
        <v>42765</v>
      </c>
      <c r="H8" s="67"/>
      <c r="I8" s="72" t="s">
        <v>267</v>
      </c>
      <c r="J8" s="72" t="s">
        <v>269</v>
      </c>
      <c r="K8" s="67"/>
      <c r="L8" s="67"/>
      <c r="M8" s="59"/>
      <c r="N8" s="35"/>
    </row>
    <row r="9" spans="1:14" ht="12.75">
      <c r="A9" s="109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8"/>
      <c r="N9" s="35"/>
    </row>
    <row r="10" spans="1:14" ht="12.75">
      <c r="A10" s="1" t="s">
        <v>5</v>
      </c>
      <c r="B10" s="11" t="s">
        <v>72</v>
      </c>
      <c r="C10" s="11" t="s">
        <v>76</v>
      </c>
      <c r="D10" s="11" t="s">
        <v>151</v>
      </c>
      <c r="E10" s="11" t="s">
        <v>250</v>
      </c>
      <c r="F10" s="18" t="s">
        <v>258</v>
      </c>
      <c r="G10" s="22" t="s">
        <v>259</v>
      </c>
      <c r="H10" s="115" t="s">
        <v>261</v>
      </c>
      <c r="I10" s="116"/>
      <c r="J10" s="117"/>
      <c r="K10" s="115" t="s">
        <v>271</v>
      </c>
      <c r="L10" s="117"/>
      <c r="M10" s="30"/>
      <c r="N10" s="36"/>
    </row>
    <row r="11" spans="1:24" ht="12.75">
      <c r="A11" s="2" t="s">
        <v>6</v>
      </c>
      <c r="B11" s="12" t="s">
        <v>6</v>
      </c>
      <c r="C11" s="12" t="s">
        <v>6</v>
      </c>
      <c r="D11" s="17" t="s">
        <v>152</v>
      </c>
      <c r="E11" s="12" t="s">
        <v>6</v>
      </c>
      <c r="F11" s="12" t="s">
        <v>6</v>
      </c>
      <c r="G11" s="23" t="s">
        <v>260</v>
      </c>
      <c r="H11" s="24" t="s">
        <v>262</v>
      </c>
      <c r="I11" s="25" t="s">
        <v>268</v>
      </c>
      <c r="J11" s="26" t="s">
        <v>270</v>
      </c>
      <c r="K11" s="24" t="s">
        <v>259</v>
      </c>
      <c r="L11" s="26" t="s">
        <v>270</v>
      </c>
      <c r="M11" s="31"/>
      <c r="N11" s="36"/>
      <c r="P11" s="28" t="s">
        <v>272</v>
      </c>
      <c r="Q11" s="28" t="s">
        <v>273</v>
      </c>
      <c r="R11" s="28" t="s">
        <v>274</v>
      </c>
      <c r="S11" s="28" t="s">
        <v>275</v>
      </c>
      <c r="T11" s="28" t="s">
        <v>276</v>
      </c>
      <c r="U11" s="28" t="s">
        <v>277</v>
      </c>
      <c r="V11" s="28" t="s">
        <v>278</v>
      </c>
      <c r="W11" s="28" t="s">
        <v>279</v>
      </c>
      <c r="X11" s="28" t="s">
        <v>280</v>
      </c>
    </row>
    <row r="12" spans="1:13" ht="12.75">
      <c r="A12" s="3"/>
      <c r="B12" s="13" t="s">
        <v>73</v>
      </c>
      <c r="C12" s="13"/>
      <c r="D12" s="118" t="s">
        <v>153</v>
      </c>
      <c r="E12" s="119"/>
      <c r="F12" s="119"/>
      <c r="G12" s="119"/>
      <c r="H12" s="39">
        <f>H13+H16+H20+H22+H25+H28+H31+H37+H41+H44</f>
        <v>0</v>
      </c>
      <c r="I12" s="39">
        <f>I13+I16+I20+I22+I25+I28+I31+I37+I41+I44</f>
        <v>0</v>
      </c>
      <c r="J12" s="39">
        <f>H12+I12</f>
        <v>0</v>
      </c>
      <c r="K12" s="27"/>
      <c r="L12" s="39">
        <f>L13+L16+L20+L22+L25+L28+L31+L37+L41+L44</f>
        <v>146.60899</v>
      </c>
      <c r="M12" s="27"/>
    </row>
    <row r="13" spans="1:37" ht="12.75">
      <c r="A13" s="4"/>
      <c r="B13" s="14" t="s">
        <v>73</v>
      </c>
      <c r="C13" s="14" t="s">
        <v>17</v>
      </c>
      <c r="D13" s="111" t="s">
        <v>154</v>
      </c>
      <c r="E13" s="112"/>
      <c r="F13" s="112"/>
      <c r="G13" s="112"/>
      <c r="H13" s="40">
        <f>SUM(H14:H14)</f>
        <v>0</v>
      </c>
      <c r="I13" s="40">
        <f>SUM(I14:I14)</f>
        <v>0</v>
      </c>
      <c r="J13" s="40">
        <f>H13+I13</f>
        <v>0</v>
      </c>
      <c r="K13" s="28"/>
      <c r="L13" s="40">
        <f>SUM(L14:L14)</f>
        <v>1.92</v>
      </c>
      <c r="M13" s="28"/>
      <c r="Y13" s="28" t="s">
        <v>73</v>
      </c>
      <c r="AI13" s="40">
        <f>SUM(Z14:Z14)</f>
        <v>0</v>
      </c>
      <c r="AJ13" s="40">
        <f>SUM(AA14:AA14)</f>
        <v>0</v>
      </c>
      <c r="AK13" s="40">
        <f>SUM(AB14:AB14)</f>
        <v>0</v>
      </c>
    </row>
    <row r="14" spans="1:48" ht="12.75">
      <c r="A14" s="5" t="s">
        <v>7</v>
      </c>
      <c r="B14" s="5" t="s">
        <v>73</v>
      </c>
      <c r="C14" s="5" t="s">
        <v>77</v>
      </c>
      <c r="D14" s="5" t="s">
        <v>155</v>
      </c>
      <c r="E14" s="5" t="s">
        <v>251</v>
      </c>
      <c r="F14" s="19">
        <v>4</v>
      </c>
      <c r="G14" s="19">
        <v>0</v>
      </c>
      <c r="H14" s="19">
        <f>F14*AE14</f>
        <v>0</v>
      </c>
      <c r="I14" s="19">
        <f>J14-H14</f>
        <v>0</v>
      </c>
      <c r="J14" s="19">
        <f>F14*G14</f>
        <v>0</v>
      </c>
      <c r="K14" s="19">
        <v>0.48</v>
      </c>
      <c r="L14" s="19">
        <f>F14*K14</f>
        <v>1.92</v>
      </c>
      <c r="M14" s="32"/>
      <c r="P14" s="37">
        <f>IF(AG14="5",J14,0)</f>
        <v>0</v>
      </c>
      <c r="R14" s="37">
        <f>IF(AG14="1",H14,0)</f>
        <v>0</v>
      </c>
      <c r="S14" s="37">
        <f>IF(AG14="1",I14,0)</f>
        <v>0</v>
      </c>
      <c r="T14" s="37">
        <f>IF(AG14="7",H14,0)</f>
        <v>0</v>
      </c>
      <c r="U14" s="37">
        <f>IF(AG14="7",I14,0)</f>
        <v>0</v>
      </c>
      <c r="V14" s="37">
        <f>IF(AG14="2",H14,0)</f>
        <v>0</v>
      </c>
      <c r="W14" s="37">
        <f>IF(AG14="2",I14,0)</f>
        <v>0</v>
      </c>
      <c r="X14" s="37">
        <f>IF(AG14="0",J14,0)</f>
        <v>0</v>
      </c>
      <c r="Y14" s="28" t="s">
        <v>73</v>
      </c>
      <c r="Z14" s="19">
        <f>IF(AD14=0,J14,0)</f>
        <v>0</v>
      </c>
      <c r="AA14" s="19">
        <f>IF(AD14=15,J14,0)</f>
        <v>0</v>
      </c>
      <c r="AB14" s="19">
        <f>IF(AD14=21,J14,0)</f>
        <v>0</v>
      </c>
      <c r="AD14" s="37">
        <v>21</v>
      </c>
      <c r="AE14" s="37">
        <f>G14*0</f>
        <v>0</v>
      </c>
      <c r="AF14" s="37">
        <f>G14*(1-0)</f>
        <v>0</v>
      </c>
      <c r="AG14" s="32" t="s">
        <v>7</v>
      </c>
      <c r="AM14" s="37">
        <f>F14*AE14</f>
        <v>0</v>
      </c>
      <c r="AN14" s="37">
        <f>F14*AF14</f>
        <v>0</v>
      </c>
      <c r="AO14" s="38" t="s">
        <v>282</v>
      </c>
      <c r="AP14" s="38" t="s">
        <v>302</v>
      </c>
      <c r="AQ14" s="28" t="s">
        <v>317</v>
      </c>
      <c r="AS14" s="37">
        <f>AM14+AN14</f>
        <v>0</v>
      </c>
      <c r="AT14" s="37">
        <f>G14/(100-AU14)*100</f>
        <v>0</v>
      </c>
      <c r="AU14" s="37">
        <v>0</v>
      </c>
      <c r="AV14" s="37">
        <f>L14</f>
        <v>1.92</v>
      </c>
    </row>
    <row r="15" spans="3:13" ht="12.75">
      <c r="C15" s="16" t="s">
        <v>71</v>
      </c>
      <c r="D15" s="113" t="s">
        <v>156</v>
      </c>
      <c r="E15" s="114"/>
      <c r="F15" s="114"/>
      <c r="G15" s="114"/>
      <c r="H15" s="114"/>
      <c r="I15" s="114"/>
      <c r="J15" s="114"/>
      <c r="K15" s="114"/>
      <c r="L15" s="114"/>
      <c r="M15" s="114"/>
    </row>
    <row r="16" spans="1:37" ht="12.75">
      <c r="A16" s="4"/>
      <c r="B16" s="14" t="s">
        <v>73</v>
      </c>
      <c r="C16" s="14" t="s">
        <v>19</v>
      </c>
      <c r="D16" s="111" t="s">
        <v>157</v>
      </c>
      <c r="E16" s="112"/>
      <c r="F16" s="112"/>
      <c r="G16" s="112"/>
      <c r="H16" s="40">
        <f>SUM(H17:H19)</f>
        <v>0</v>
      </c>
      <c r="I16" s="40">
        <f>SUM(I17:I19)</f>
        <v>0</v>
      </c>
      <c r="J16" s="40">
        <f>H16+I16</f>
        <v>0</v>
      </c>
      <c r="K16" s="28"/>
      <c r="L16" s="40">
        <f>SUM(L17:L19)</f>
        <v>0</v>
      </c>
      <c r="M16" s="28"/>
      <c r="Y16" s="28" t="s">
        <v>73</v>
      </c>
      <c r="AI16" s="40">
        <f>SUM(Z17:Z19)</f>
        <v>0</v>
      </c>
      <c r="AJ16" s="40">
        <f>SUM(AA17:AA19)</f>
        <v>0</v>
      </c>
      <c r="AK16" s="40">
        <f>SUM(AB17:AB19)</f>
        <v>0</v>
      </c>
    </row>
    <row r="17" spans="1:48" ht="12.75">
      <c r="A17" s="5" t="s">
        <v>8</v>
      </c>
      <c r="B17" s="5" t="s">
        <v>73</v>
      </c>
      <c r="C17" s="5" t="s">
        <v>78</v>
      </c>
      <c r="D17" s="5" t="s">
        <v>158</v>
      </c>
      <c r="E17" s="5" t="s">
        <v>252</v>
      </c>
      <c r="F17" s="19">
        <v>243</v>
      </c>
      <c r="G17" s="19">
        <v>0</v>
      </c>
      <c r="H17" s="19">
        <f>F17*AE17</f>
        <v>0</v>
      </c>
      <c r="I17" s="19">
        <f>J17-H17</f>
        <v>0</v>
      </c>
      <c r="J17" s="19">
        <f>F17*G17</f>
        <v>0</v>
      </c>
      <c r="K17" s="19">
        <v>0</v>
      </c>
      <c r="L17" s="19">
        <f>F17*K17</f>
        <v>0</v>
      </c>
      <c r="M17" s="32"/>
      <c r="P17" s="37">
        <f>IF(AG17="5",J17,0)</f>
        <v>0</v>
      </c>
      <c r="R17" s="37">
        <f>IF(AG17="1",H17,0)</f>
        <v>0</v>
      </c>
      <c r="S17" s="37">
        <f>IF(AG17="1",I17,0)</f>
        <v>0</v>
      </c>
      <c r="T17" s="37">
        <f>IF(AG17="7",H17,0)</f>
        <v>0</v>
      </c>
      <c r="U17" s="37">
        <f>IF(AG17="7",I17,0)</f>
        <v>0</v>
      </c>
      <c r="V17" s="37">
        <f>IF(AG17="2",H17,0)</f>
        <v>0</v>
      </c>
      <c r="W17" s="37">
        <f>IF(AG17="2",I17,0)</f>
        <v>0</v>
      </c>
      <c r="X17" s="37">
        <f>IF(AG17="0",J17,0)</f>
        <v>0</v>
      </c>
      <c r="Y17" s="28" t="s">
        <v>73</v>
      </c>
      <c r="Z17" s="19">
        <f>IF(AD17=0,J17,0)</f>
        <v>0</v>
      </c>
      <c r="AA17" s="19">
        <f>IF(AD17=15,J17,0)</f>
        <v>0</v>
      </c>
      <c r="AB17" s="19">
        <f>IF(AD17=21,J17,0)</f>
        <v>0</v>
      </c>
      <c r="AD17" s="37">
        <v>21</v>
      </c>
      <c r="AE17" s="37">
        <f>G17*0</f>
        <v>0</v>
      </c>
      <c r="AF17" s="37">
        <f>G17*(1-0)</f>
        <v>0</v>
      </c>
      <c r="AG17" s="32" t="s">
        <v>7</v>
      </c>
      <c r="AM17" s="37">
        <f>F17*AE17</f>
        <v>0</v>
      </c>
      <c r="AN17" s="37">
        <f>F17*AF17</f>
        <v>0</v>
      </c>
      <c r="AO17" s="38" t="s">
        <v>283</v>
      </c>
      <c r="AP17" s="38" t="s">
        <v>302</v>
      </c>
      <c r="AQ17" s="28" t="s">
        <v>317</v>
      </c>
      <c r="AS17" s="37">
        <f>AM17+AN17</f>
        <v>0</v>
      </c>
      <c r="AT17" s="37">
        <f>G17/(100-AU17)*100</f>
        <v>0</v>
      </c>
      <c r="AU17" s="37">
        <v>0</v>
      </c>
      <c r="AV17" s="37">
        <f>L17</f>
        <v>0</v>
      </c>
    </row>
    <row r="18" spans="3:13" ht="12.75">
      <c r="C18" s="16" t="s">
        <v>71</v>
      </c>
      <c r="D18" s="113" t="s">
        <v>159</v>
      </c>
      <c r="E18" s="114"/>
      <c r="F18" s="114"/>
      <c r="G18" s="114"/>
      <c r="H18" s="114"/>
      <c r="I18" s="114"/>
      <c r="J18" s="114"/>
      <c r="K18" s="114"/>
      <c r="L18" s="114"/>
      <c r="M18" s="114"/>
    </row>
    <row r="19" spans="1:48" ht="12.75">
      <c r="A19" s="5" t="s">
        <v>9</v>
      </c>
      <c r="B19" s="5" t="s">
        <v>73</v>
      </c>
      <c r="C19" s="5" t="s">
        <v>79</v>
      </c>
      <c r="D19" s="5" t="s">
        <v>160</v>
      </c>
      <c r="E19" s="5" t="s">
        <v>252</v>
      </c>
      <c r="F19" s="19">
        <v>243</v>
      </c>
      <c r="G19" s="19">
        <v>0</v>
      </c>
      <c r="H19" s="19">
        <f>F19*AE19</f>
        <v>0</v>
      </c>
      <c r="I19" s="19">
        <f>J19-H19</f>
        <v>0</v>
      </c>
      <c r="J19" s="19">
        <f>F19*G19</f>
        <v>0</v>
      </c>
      <c r="K19" s="19">
        <v>0</v>
      </c>
      <c r="L19" s="19">
        <f>F19*K19</f>
        <v>0</v>
      </c>
      <c r="M19" s="32"/>
      <c r="P19" s="37">
        <f>IF(AG19="5",J19,0)</f>
        <v>0</v>
      </c>
      <c r="R19" s="37">
        <f>IF(AG19="1",H19,0)</f>
        <v>0</v>
      </c>
      <c r="S19" s="37">
        <f>IF(AG19="1",I19,0)</f>
        <v>0</v>
      </c>
      <c r="T19" s="37">
        <f>IF(AG19="7",H19,0)</f>
        <v>0</v>
      </c>
      <c r="U19" s="37">
        <f>IF(AG19="7",I19,0)</f>
        <v>0</v>
      </c>
      <c r="V19" s="37">
        <f>IF(AG19="2",H19,0)</f>
        <v>0</v>
      </c>
      <c r="W19" s="37">
        <f>IF(AG19="2",I19,0)</f>
        <v>0</v>
      </c>
      <c r="X19" s="37">
        <f>IF(AG19="0",J19,0)</f>
        <v>0</v>
      </c>
      <c r="Y19" s="28" t="s">
        <v>73</v>
      </c>
      <c r="Z19" s="19">
        <f>IF(AD19=0,J19,0)</f>
        <v>0</v>
      </c>
      <c r="AA19" s="19">
        <f>IF(AD19=15,J19,0)</f>
        <v>0</v>
      </c>
      <c r="AB19" s="19">
        <f>IF(AD19=21,J19,0)</f>
        <v>0</v>
      </c>
      <c r="AD19" s="37">
        <v>21</v>
      </c>
      <c r="AE19" s="37">
        <f>G19*0</f>
        <v>0</v>
      </c>
      <c r="AF19" s="37">
        <f>G19*(1-0)</f>
        <v>0</v>
      </c>
      <c r="AG19" s="32" t="s">
        <v>7</v>
      </c>
      <c r="AM19" s="37">
        <f>F19*AE19</f>
        <v>0</v>
      </c>
      <c r="AN19" s="37">
        <f>F19*AF19</f>
        <v>0</v>
      </c>
      <c r="AO19" s="38" t="s">
        <v>283</v>
      </c>
      <c r="AP19" s="38" t="s">
        <v>302</v>
      </c>
      <c r="AQ19" s="28" t="s">
        <v>317</v>
      </c>
      <c r="AS19" s="37">
        <f>AM19+AN19</f>
        <v>0</v>
      </c>
      <c r="AT19" s="37">
        <f>G19/(100-AU19)*100</f>
        <v>0</v>
      </c>
      <c r="AU19" s="37">
        <v>0</v>
      </c>
      <c r="AV19" s="37">
        <f>L19</f>
        <v>0</v>
      </c>
    </row>
    <row r="20" spans="1:37" ht="12.75">
      <c r="A20" s="4"/>
      <c r="B20" s="14" t="s">
        <v>73</v>
      </c>
      <c r="C20" s="14" t="s">
        <v>22</v>
      </c>
      <c r="D20" s="111" t="s">
        <v>161</v>
      </c>
      <c r="E20" s="112"/>
      <c r="F20" s="112"/>
      <c r="G20" s="112"/>
      <c r="H20" s="40">
        <f>SUM(H21:H21)</f>
        <v>0</v>
      </c>
      <c r="I20" s="40">
        <f>SUM(I21:I21)</f>
        <v>0</v>
      </c>
      <c r="J20" s="40">
        <f>H20+I20</f>
        <v>0</v>
      </c>
      <c r="K20" s="28"/>
      <c r="L20" s="40">
        <f>SUM(L21:L21)</f>
        <v>0</v>
      </c>
      <c r="M20" s="28"/>
      <c r="Y20" s="28" t="s">
        <v>73</v>
      </c>
      <c r="AI20" s="40">
        <f>SUM(Z21:Z21)</f>
        <v>0</v>
      </c>
      <c r="AJ20" s="40">
        <f>SUM(AA21:AA21)</f>
        <v>0</v>
      </c>
      <c r="AK20" s="40">
        <f>SUM(AB21:AB21)</f>
        <v>0</v>
      </c>
    </row>
    <row r="21" spans="1:48" ht="12.75">
      <c r="A21" s="5" t="s">
        <v>10</v>
      </c>
      <c r="B21" s="5" t="s">
        <v>73</v>
      </c>
      <c r="C21" s="5" t="s">
        <v>80</v>
      </c>
      <c r="D21" s="5" t="s">
        <v>162</v>
      </c>
      <c r="E21" s="5" t="s">
        <v>252</v>
      </c>
      <c r="F21" s="19">
        <v>178</v>
      </c>
      <c r="G21" s="19">
        <v>0</v>
      </c>
      <c r="H21" s="19">
        <f>F21*AE21</f>
        <v>0</v>
      </c>
      <c r="I21" s="19">
        <f>J21-H21</f>
        <v>0</v>
      </c>
      <c r="J21" s="19">
        <f>F21*G21</f>
        <v>0</v>
      </c>
      <c r="K21" s="19">
        <v>0</v>
      </c>
      <c r="L21" s="19">
        <f>F21*K21</f>
        <v>0</v>
      </c>
      <c r="M21" s="32"/>
      <c r="P21" s="37">
        <f>IF(AG21="5",J21,0)</f>
        <v>0</v>
      </c>
      <c r="R21" s="37">
        <f>IF(AG21="1",H21,0)</f>
        <v>0</v>
      </c>
      <c r="S21" s="37">
        <f>IF(AG21="1",I21,0)</f>
        <v>0</v>
      </c>
      <c r="T21" s="37">
        <f>IF(AG21="7",H21,0)</f>
        <v>0</v>
      </c>
      <c r="U21" s="37">
        <f>IF(AG21="7",I21,0)</f>
        <v>0</v>
      </c>
      <c r="V21" s="37">
        <f>IF(AG21="2",H21,0)</f>
        <v>0</v>
      </c>
      <c r="W21" s="37">
        <f>IF(AG21="2",I21,0)</f>
        <v>0</v>
      </c>
      <c r="X21" s="37">
        <f>IF(AG21="0",J21,0)</f>
        <v>0</v>
      </c>
      <c r="Y21" s="28" t="s">
        <v>73</v>
      </c>
      <c r="Z21" s="19">
        <f>IF(AD21=0,J21,0)</f>
        <v>0</v>
      </c>
      <c r="AA21" s="19">
        <f>IF(AD21=15,J21,0)</f>
        <v>0</v>
      </c>
      <c r="AB21" s="19">
        <f>IF(AD21=21,J21,0)</f>
        <v>0</v>
      </c>
      <c r="AD21" s="37">
        <v>21</v>
      </c>
      <c r="AE21" s="37">
        <f>G21*0</f>
        <v>0</v>
      </c>
      <c r="AF21" s="37">
        <f>G21*(1-0)</f>
        <v>0</v>
      </c>
      <c r="AG21" s="32" t="s">
        <v>7</v>
      </c>
      <c r="AM21" s="37">
        <f>F21*AE21</f>
        <v>0</v>
      </c>
      <c r="AN21" s="37">
        <f>F21*AF21</f>
        <v>0</v>
      </c>
      <c r="AO21" s="38" t="s">
        <v>284</v>
      </c>
      <c r="AP21" s="38" t="s">
        <v>302</v>
      </c>
      <c r="AQ21" s="28" t="s">
        <v>317</v>
      </c>
      <c r="AS21" s="37">
        <f>AM21+AN21</f>
        <v>0</v>
      </c>
      <c r="AT21" s="37">
        <f>G21/(100-AU21)*100</f>
        <v>0</v>
      </c>
      <c r="AU21" s="37">
        <v>0</v>
      </c>
      <c r="AV21" s="37">
        <f>L21</f>
        <v>0</v>
      </c>
    </row>
    <row r="22" spans="1:37" ht="12.75">
      <c r="A22" s="4"/>
      <c r="B22" s="14" t="s">
        <v>73</v>
      </c>
      <c r="C22" s="14" t="s">
        <v>23</v>
      </c>
      <c r="D22" s="111" t="s">
        <v>163</v>
      </c>
      <c r="E22" s="112"/>
      <c r="F22" s="112"/>
      <c r="G22" s="112"/>
      <c r="H22" s="40">
        <f>SUM(H23:H23)</f>
        <v>0</v>
      </c>
      <c r="I22" s="40">
        <f>SUM(I23:I23)</f>
        <v>0</v>
      </c>
      <c r="J22" s="40">
        <f>H22+I22</f>
        <v>0</v>
      </c>
      <c r="K22" s="28"/>
      <c r="L22" s="40">
        <f>SUM(L23:L23)</f>
        <v>0</v>
      </c>
      <c r="M22" s="28"/>
      <c r="Y22" s="28" t="s">
        <v>73</v>
      </c>
      <c r="AI22" s="40">
        <f>SUM(Z23:Z23)</f>
        <v>0</v>
      </c>
      <c r="AJ22" s="40">
        <f>SUM(AA23:AA23)</f>
        <v>0</v>
      </c>
      <c r="AK22" s="40">
        <f>SUM(AB23:AB23)</f>
        <v>0</v>
      </c>
    </row>
    <row r="23" spans="1:48" ht="12.75">
      <c r="A23" s="5" t="s">
        <v>11</v>
      </c>
      <c r="B23" s="5" t="s">
        <v>73</v>
      </c>
      <c r="C23" s="5" t="s">
        <v>81</v>
      </c>
      <c r="D23" s="5" t="s">
        <v>164</v>
      </c>
      <c r="E23" s="5" t="s">
        <v>252</v>
      </c>
      <c r="F23" s="19">
        <v>65</v>
      </c>
      <c r="G23" s="19">
        <v>0</v>
      </c>
      <c r="H23" s="19">
        <f>F23*AE23</f>
        <v>0</v>
      </c>
      <c r="I23" s="19">
        <f>J23-H23</f>
        <v>0</v>
      </c>
      <c r="J23" s="19">
        <f>F23*G23</f>
        <v>0</v>
      </c>
      <c r="K23" s="19">
        <v>0</v>
      </c>
      <c r="L23" s="19">
        <f>F23*K23</f>
        <v>0</v>
      </c>
      <c r="M23" s="32"/>
      <c r="P23" s="37">
        <f>IF(AG23="5",J23,0)</f>
        <v>0</v>
      </c>
      <c r="R23" s="37">
        <f>IF(AG23="1",H23,0)</f>
        <v>0</v>
      </c>
      <c r="S23" s="37">
        <f>IF(AG23="1",I23,0)</f>
        <v>0</v>
      </c>
      <c r="T23" s="37">
        <f>IF(AG23="7",H23,0)</f>
        <v>0</v>
      </c>
      <c r="U23" s="37">
        <f>IF(AG23="7",I23,0)</f>
        <v>0</v>
      </c>
      <c r="V23" s="37">
        <f>IF(AG23="2",H23,0)</f>
        <v>0</v>
      </c>
      <c r="W23" s="37">
        <f>IF(AG23="2",I23,0)</f>
        <v>0</v>
      </c>
      <c r="X23" s="37">
        <f>IF(AG23="0",J23,0)</f>
        <v>0</v>
      </c>
      <c r="Y23" s="28" t="s">
        <v>73</v>
      </c>
      <c r="Z23" s="19">
        <f>IF(AD23=0,J23,0)</f>
        <v>0</v>
      </c>
      <c r="AA23" s="19">
        <f>IF(AD23=15,J23,0)</f>
        <v>0</v>
      </c>
      <c r="AB23" s="19">
        <f>IF(AD23=21,J23,0)</f>
        <v>0</v>
      </c>
      <c r="AD23" s="37">
        <v>21</v>
      </c>
      <c r="AE23" s="37">
        <f>G23*0</f>
        <v>0</v>
      </c>
      <c r="AF23" s="37">
        <f>G23*(1-0)</f>
        <v>0</v>
      </c>
      <c r="AG23" s="32" t="s">
        <v>7</v>
      </c>
      <c r="AM23" s="37">
        <f>F23*AE23</f>
        <v>0</v>
      </c>
      <c r="AN23" s="37">
        <f>F23*AF23</f>
        <v>0</v>
      </c>
      <c r="AO23" s="38" t="s">
        <v>285</v>
      </c>
      <c r="AP23" s="38" t="s">
        <v>302</v>
      </c>
      <c r="AQ23" s="28" t="s">
        <v>317</v>
      </c>
      <c r="AS23" s="37">
        <f>AM23+AN23</f>
        <v>0</v>
      </c>
      <c r="AT23" s="37">
        <f>G23/(100-AU23)*100</f>
        <v>0</v>
      </c>
      <c r="AU23" s="37">
        <v>0</v>
      </c>
      <c r="AV23" s="37">
        <f>L23</f>
        <v>0</v>
      </c>
    </row>
    <row r="24" spans="3:13" ht="12.75">
      <c r="C24" s="16" t="s">
        <v>71</v>
      </c>
      <c r="D24" s="113" t="s">
        <v>165</v>
      </c>
      <c r="E24" s="114"/>
      <c r="F24" s="114"/>
      <c r="G24" s="114"/>
      <c r="H24" s="114"/>
      <c r="I24" s="114"/>
      <c r="J24" s="114"/>
      <c r="K24" s="114"/>
      <c r="L24" s="114"/>
      <c r="M24" s="114"/>
    </row>
    <row r="25" spans="1:37" ht="12.75">
      <c r="A25" s="4"/>
      <c r="B25" s="14" t="s">
        <v>73</v>
      </c>
      <c r="C25" s="14" t="s">
        <v>24</v>
      </c>
      <c r="D25" s="111" t="s">
        <v>166</v>
      </c>
      <c r="E25" s="112"/>
      <c r="F25" s="112"/>
      <c r="G25" s="112"/>
      <c r="H25" s="40">
        <f>SUM(H26:H26)</f>
        <v>0</v>
      </c>
      <c r="I25" s="40">
        <f>SUM(I26:I26)</f>
        <v>0</v>
      </c>
      <c r="J25" s="40">
        <f>H25+I25</f>
        <v>0</v>
      </c>
      <c r="K25" s="28"/>
      <c r="L25" s="40">
        <f>SUM(L26:L26)</f>
        <v>0</v>
      </c>
      <c r="M25" s="28"/>
      <c r="Y25" s="28" t="s">
        <v>73</v>
      </c>
      <c r="AI25" s="40">
        <f>SUM(Z26:Z26)</f>
        <v>0</v>
      </c>
      <c r="AJ25" s="40">
        <f>SUM(AA26:AA26)</f>
        <v>0</v>
      </c>
      <c r="AK25" s="40">
        <f>SUM(AB26:AB26)</f>
        <v>0</v>
      </c>
    </row>
    <row r="26" spans="1:48" ht="12.75">
      <c r="A26" s="5" t="s">
        <v>12</v>
      </c>
      <c r="B26" s="5" t="s">
        <v>73</v>
      </c>
      <c r="C26" s="5" t="s">
        <v>82</v>
      </c>
      <c r="D26" s="5" t="s">
        <v>167</v>
      </c>
      <c r="E26" s="5" t="s">
        <v>251</v>
      </c>
      <c r="F26" s="19">
        <v>300</v>
      </c>
      <c r="G26" s="19">
        <v>0</v>
      </c>
      <c r="H26" s="19">
        <f>F26*AE26</f>
        <v>0</v>
      </c>
      <c r="I26" s="19">
        <f>J26-H26</f>
        <v>0</v>
      </c>
      <c r="J26" s="19">
        <f>F26*G26</f>
        <v>0</v>
      </c>
      <c r="K26" s="19">
        <v>0</v>
      </c>
      <c r="L26" s="19">
        <f>F26*K26</f>
        <v>0</v>
      </c>
      <c r="M26" s="32"/>
      <c r="P26" s="37">
        <f>IF(AG26="5",J26,0)</f>
        <v>0</v>
      </c>
      <c r="R26" s="37">
        <f>IF(AG26="1",H26,0)</f>
        <v>0</v>
      </c>
      <c r="S26" s="37">
        <f>IF(AG26="1",I26,0)</f>
        <v>0</v>
      </c>
      <c r="T26" s="37">
        <f>IF(AG26="7",H26,0)</f>
        <v>0</v>
      </c>
      <c r="U26" s="37">
        <f>IF(AG26="7",I26,0)</f>
        <v>0</v>
      </c>
      <c r="V26" s="37">
        <f>IF(AG26="2",H26,0)</f>
        <v>0</v>
      </c>
      <c r="W26" s="37">
        <f>IF(AG26="2",I26,0)</f>
        <v>0</v>
      </c>
      <c r="X26" s="37">
        <f>IF(AG26="0",J26,0)</f>
        <v>0</v>
      </c>
      <c r="Y26" s="28" t="s">
        <v>73</v>
      </c>
      <c r="Z26" s="19">
        <f>IF(AD26=0,J26,0)</f>
        <v>0</v>
      </c>
      <c r="AA26" s="19">
        <f>IF(AD26=15,J26,0)</f>
        <v>0</v>
      </c>
      <c r="AB26" s="19">
        <f>IF(AD26=21,J26,0)</f>
        <v>0</v>
      </c>
      <c r="AD26" s="37">
        <v>21</v>
      </c>
      <c r="AE26" s="37">
        <f>G26*0</f>
        <v>0</v>
      </c>
      <c r="AF26" s="37">
        <f>G26*(1-0)</f>
        <v>0</v>
      </c>
      <c r="AG26" s="32" t="s">
        <v>7</v>
      </c>
      <c r="AM26" s="37">
        <f>F26*AE26</f>
        <v>0</v>
      </c>
      <c r="AN26" s="37">
        <f>F26*AF26</f>
        <v>0</v>
      </c>
      <c r="AO26" s="38" t="s">
        <v>286</v>
      </c>
      <c r="AP26" s="38" t="s">
        <v>302</v>
      </c>
      <c r="AQ26" s="28" t="s">
        <v>317</v>
      </c>
      <c r="AS26" s="37">
        <f>AM26+AN26</f>
        <v>0</v>
      </c>
      <c r="AT26" s="37">
        <f>G26/(100-AU26)*100</f>
        <v>0</v>
      </c>
      <c r="AU26" s="37">
        <v>0</v>
      </c>
      <c r="AV26" s="37">
        <f>L26</f>
        <v>0</v>
      </c>
    </row>
    <row r="27" spans="3:13" ht="12.75">
      <c r="C27" s="16" t="s">
        <v>71</v>
      </c>
      <c r="D27" s="113" t="s">
        <v>168</v>
      </c>
      <c r="E27" s="114"/>
      <c r="F27" s="114"/>
      <c r="G27" s="114"/>
      <c r="H27" s="114"/>
      <c r="I27" s="114"/>
      <c r="J27" s="114"/>
      <c r="K27" s="114"/>
      <c r="L27" s="114"/>
      <c r="M27" s="114"/>
    </row>
    <row r="28" spans="1:37" ht="12.75">
      <c r="A28" s="4"/>
      <c r="B28" s="14" t="s">
        <v>73</v>
      </c>
      <c r="C28" s="14" t="s">
        <v>83</v>
      </c>
      <c r="D28" s="111" t="s">
        <v>169</v>
      </c>
      <c r="E28" s="112"/>
      <c r="F28" s="112"/>
      <c r="G28" s="112"/>
      <c r="H28" s="40">
        <f>SUM(H29:H30)</f>
        <v>0</v>
      </c>
      <c r="I28" s="40">
        <f>SUM(I29:I30)</f>
        <v>0</v>
      </c>
      <c r="J28" s="40">
        <f>H28+I28</f>
        <v>0</v>
      </c>
      <c r="K28" s="28"/>
      <c r="L28" s="40">
        <f>SUM(L29:L30)</f>
        <v>0.0017300000000000002</v>
      </c>
      <c r="M28" s="28"/>
      <c r="Y28" s="28" t="s">
        <v>73</v>
      </c>
      <c r="AI28" s="40">
        <f>SUM(Z29:Z30)</f>
        <v>0</v>
      </c>
      <c r="AJ28" s="40">
        <f>SUM(AA29:AA30)</f>
        <v>0</v>
      </c>
      <c r="AK28" s="40">
        <f>SUM(AB29:AB30)</f>
        <v>0</v>
      </c>
    </row>
    <row r="29" spans="1:48" ht="12.75">
      <c r="A29" s="5" t="s">
        <v>13</v>
      </c>
      <c r="B29" s="5" t="s">
        <v>73</v>
      </c>
      <c r="C29" s="5" t="s">
        <v>84</v>
      </c>
      <c r="D29" s="5" t="s">
        <v>170</v>
      </c>
      <c r="E29" s="5" t="s">
        <v>253</v>
      </c>
      <c r="F29" s="19">
        <v>173</v>
      </c>
      <c r="G29" s="19">
        <v>0</v>
      </c>
      <c r="H29" s="19">
        <f>F29*AE29</f>
        <v>0</v>
      </c>
      <c r="I29" s="19">
        <f>J29-H29</f>
        <v>0</v>
      </c>
      <c r="J29" s="19">
        <f>F29*G29</f>
        <v>0</v>
      </c>
      <c r="K29" s="19">
        <v>1E-05</v>
      </c>
      <c r="L29" s="19">
        <f>F29*K29</f>
        <v>0.0017300000000000002</v>
      </c>
      <c r="M29" s="32"/>
      <c r="P29" s="37">
        <f>IF(AG29="5",J29,0)</f>
        <v>0</v>
      </c>
      <c r="R29" s="37">
        <f>IF(AG29="1",H29,0)</f>
        <v>0</v>
      </c>
      <c r="S29" s="37">
        <f>IF(AG29="1",I29,0)</f>
        <v>0</v>
      </c>
      <c r="T29" s="37">
        <f>IF(AG29="7",H29,0)</f>
        <v>0</v>
      </c>
      <c r="U29" s="37">
        <f>IF(AG29="7",I29,0)</f>
        <v>0</v>
      </c>
      <c r="V29" s="37">
        <f>IF(AG29="2",H29,0)</f>
        <v>0</v>
      </c>
      <c r="W29" s="37">
        <f>IF(AG29="2",I29,0)</f>
        <v>0</v>
      </c>
      <c r="X29" s="37">
        <f>IF(AG29="0",J29,0)</f>
        <v>0</v>
      </c>
      <c r="Y29" s="28" t="s">
        <v>73</v>
      </c>
      <c r="Z29" s="19">
        <f>IF(AD29=0,J29,0)</f>
        <v>0</v>
      </c>
      <c r="AA29" s="19">
        <f>IF(AD29=15,J29,0)</f>
        <v>0</v>
      </c>
      <c r="AB29" s="19">
        <f>IF(AD29=21,J29,0)</f>
        <v>0</v>
      </c>
      <c r="AD29" s="37">
        <v>21</v>
      </c>
      <c r="AE29" s="37">
        <f>G29*0.00688259109311741</f>
        <v>0</v>
      </c>
      <c r="AF29" s="37">
        <f>G29*(1-0.00688259109311741)</f>
        <v>0</v>
      </c>
      <c r="AG29" s="32" t="s">
        <v>7</v>
      </c>
      <c r="AM29" s="37">
        <f>F29*AE29</f>
        <v>0</v>
      </c>
      <c r="AN29" s="37">
        <f>F29*AF29</f>
        <v>0</v>
      </c>
      <c r="AO29" s="38" t="s">
        <v>287</v>
      </c>
      <c r="AP29" s="38" t="s">
        <v>303</v>
      </c>
      <c r="AQ29" s="28" t="s">
        <v>317</v>
      </c>
      <c r="AS29" s="37">
        <f>AM29+AN29</f>
        <v>0</v>
      </c>
      <c r="AT29" s="37">
        <f>G29/(100-AU29)*100</f>
        <v>0</v>
      </c>
      <c r="AU29" s="37">
        <v>0</v>
      </c>
      <c r="AV29" s="37">
        <f>L29</f>
        <v>0.0017300000000000002</v>
      </c>
    </row>
    <row r="30" spans="1:48" ht="12.75">
      <c r="A30" s="5" t="s">
        <v>14</v>
      </c>
      <c r="B30" s="5" t="s">
        <v>73</v>
      </c>
      <c r="C30" s="5" t="s">
        <v>85</v>
      </c>
      <c r="D30" s="5" t="s">
        <v>171</v>
      </c>
      <c r="E30" s="5" t="s">
        <v>253</v>
      </c>
      <c r="F30" s="19">
        <v>10.3</v>
      </c>
      <c r="G30" s="19">
        <v>0</v>
      </c>
      <c r="H30" s="19">
        <f>F30*AE30</f>
        <v>0</v>
      </c>
      <c r="I30" s="19">
        <f>J30-H30</f>
        <v>0</v>
      </c>
      <c r="J30" s="19">
        <f>F30*G30</f>
        <v>0</v>
      </c>
      <c r="K30" s="19">
        <v>0</v>
      </c>
      <c r="L30" s="19">
        <f>F30*K30</f>
        <v>0</v>
      </c>
      <c r="M30" s="32"/>
      <c r="P30" s="37">
        <f>IF(AG30="5",J30,0)</f>
        <v>0</v>
      </c>
      <c r="R30" s="37">
        <f>IF(AG30="1",H30,0)</f>
        <v>0</v>
      </c>
      <c r="S30" s="37">
        <f>IF(AG30="1",I30,0)</f>
        <v>0</v>
      </c>
      <c r="T30" s="37">
        <f>IF(AG30="7",H30,0)</f>
        <v>0</v>
      </c>
      <c r="U30" s="37">
        <f>IF(AG30="7",I30,0)</f>
        <v>0</v>
      </c>
      <c r="V30" s="37">
        <f>IF(AG30="2",H30,0)</f>
        <v>0</v>
      </c>
      <c r="W30" s="37">
        <f>IF(AG30="2",I30,0)</f>
        <v>0</v>
      </c>
      <c r="X30" s="37">
        <f>IF(AG30="0",J30,0)</f>
        <v>0</v>
      </c>
      <c r="Y30" s="28" t="s">
        <v>73</v>
      </c>
      <c r="Z30" s="19">
        <f>IF(AD30=0,J30,0)</f>
        <v>0</v>
      </c>
      <c r="AA30" s="19">
        <f>IF(AD30=15,J30,0)</f>
        <v>0</v>
      </c>
      <c r="AB30" s="19">
        <f>IF(AD30=21,J30,0)</f>
        <v>0</v>
      </c>
      <c r="AD30" s="37">
        <v>21</v>
      </c>
      <c r="AE30" s="37">
        <f>G30*0.00590841949778434</f>
        <v>0</v>
      </c>
      <c r="AF30" s="37">
        <f>G30*(1-0.00590841949778434)</f>
        <v>0</v>
      </c>
      <c r="AG30" s="32" t="s">
        <v>7</v>
      </c>
      <c r="AM30" s="37">
        <f>F30*AE30</f>
        <v>0</v>
      </c>
      <c r="AN30" s="37">
        <f>F30*AF30</f>
        <v>0</v>
      </c>
      <c r="AO30" s="38" t="s">
        <v>287</v>
      </c>
      <c r="AP30" s="38" t="s">
        <v>303</v>
      </c>
      <c r="AQ30" s="28" t="s">
        <v>317</v>
      </c>
      <c r="AS30" s="37">
        <f>AM30+AN30</f>
        <v>0</v>
      </c>
      <c r="AT30" s="37">
        <f>G30/(100-AU30)*100</f>
        <v>0</v>
      </c>
      <c r="AU30" s="37">
        <v>0</v>
      </c>
      <c r="AV30" s="37">
        <f>L30</f>
        <v>0</v>
      </c>
    </row>
    <row r="31" spans="1:37" ht="12.75">
      <c r="A31" s="4"/>
      <c r="B31" s="14" t="s">
        <v>73</v>
      </c>
      <c r="C31" s="14" t="s">
        <v>86</v>
      </c>
      <c r="D31" s="111" t="s">
        <v>172</v>
      </c>
      <c r="E31" s="112"/>
      <c r="F31" s="112"/>
      <c r="G31" s="112"/>
      <c r="H31" s="40">
        <f>SUM(H32:H36)</f>
        <v>0</v>
      </c>
      <c r="I31" s="40">
        <f>SUM(I32:I36)</f>
        <v>0</v>
      </c>
      <c r="J31" s="40">
        <f>H31+I31</f>
        <v>0</v>
      </c>
      <c r="K31" s="28"/>
      <c r="L31" s="40">
        <f>SUM(L32:L36)</f>
        <v>16.12419</v>
      </c>
      <c r="M31" s="28"/>
      <c r="Y31" s="28" t="s">
        <v>73</v>
      </c>
      <c r="AI31" s="40">
        <f>SUM(Z32:Z36)</f>
        <v>0</v>
      </c>
      <c r="AJ31" s="40">
        <f>SUM(AA32:AA36)</f>
        <v>0</v>
      </c>
      <c r="AK31" s="40">
        <f>SUM(AB32:AB36)</f>
        <v>0</v>
      </c>
    </row>
    <row r="32" spans="1:48" ht="12.75">
      <c r="A32" s="5" t="s">
        <v>15</v>
      </c>
      <c r="B32" s="5" t="s">
        <v>73</v>
      </c>
      <c r="C32" s="5" t="s">
        <v>87</v>
      </c>
      <c r="D32" s="5" t="s">
        <v>173</v>
      </c>
      <c r="E32" s="5" t="s">
        <v>253</v>
      </c>
      <c r="F32" s="19">
        <v>183.3</v>
      </c>
      <c r="G32" s="19">
        <v>0</v>
      </c>
      <c r="H32" s="19">
        <f>F32*AE32</f>
        <v>0</v>
      </c>
      <c r="I32" s="19">
        <f>J32-H32</f>
        <v>0</v>
      </c>
      <c r="J32" s="19">
        <f>F32*G32</f>
        <v>0</v>
      </c>
      <c r="K32" s="19">
        <v>0</v>
      </c>
      <c r="L32" s="19">
        <f>F32*K32</f>
        <v>0</v>
      </c>
      <c r="M32" s="32"/>
      <c r="P32" s="37">
        <f>IF(AG32="5",J32,0)</f>
        <v>0</v>
      </c>
      <c r="R32" s="37">
        <f>IF(AG32="1",H32,0)</f>
        <v>0</v>
      </c>
      <c r="S32" s="37">
        <f>IF(AG32="1",I32,0)</f>
        <v>0</v>
      </c>
      <c r="T32" s="37">
        <f>IF(AG32="7",H32,0)</f>
        <v>0</v>
      </c>
      <c r="U32" s="37">
        <f>IF(AG32="7",I32,0)</f>
        <v>0</v>
      </c>
      <c r="V32" s="37">
        <f>IF(AG32="2",H32,0)</f>
        <v>0</v>
      </c>
      <c r="W32" s="37">
        <f>IF(AG32="2",I32,0)</f>
        <v>0</v>
      </c>
      <c r="X32" s="37">
        <f>IF(AG32="0",J32,0)</f>
        <v>0</v>
      </c>
      <c r="Y32" s="28" t="s">
        <v>73</v>
      </c>
      <c r="Z32" s="19">
        <f>IF(AD32=0,J32,0)</f>
        <v>0</v>
      </c>
      <c r="AA32" s="19">
        <f>IF(AD32=15,J32,0)</f>
        <v>0</v>
      </c>
      <c r="AB32" s="19">
        <f>IF(AD32=21,J32,0)</f>
        <v>0</v>
      </c>
      <c r="AD32" s="37">
        <v>21</v>
      </c>
      <c r="AE32" s="37">
        <f>G32*0.0748299319727891</f>
        <v>0</v>
      </c>
      <c r="AF32" s="37">
        <f>G32*(1-0.0748299319727891)</f>
        <v>0</v>
      </c>
      <c r="AG32" s="32" t="s">
        <v>7</v>
      </c>
      <c r="AM32" s="37">
        <f>F32*AE32</f>
        <v>0</v>
      </c>
      <c r="AN32" s="37">
        <f>F32*AF32</f>
        <v>0</v>
      </c>
      <c r="AO32" s="38" t="s">
        <v>288</v>
      </c>
      <c r="AP32" s="38" t="s">
        <v>303</v>
      </c>
      <c r="AQ32" s="28" t="s">
        <v>317</v>
      </c>
      <c r="AS32" s="37">
        <f>AM32+AN32</f>
        <v>0</v>
      </c>
      <c r="AT32" s="37">
        <f>G32/(100-AU32)*100</f>
        <v>0</v>
      </c>
      <c r="AU32" s="37">
        <v>0</v>
      </c>
      <c r="AV32" s="37">
        <f>L32</f>
        <v>0</v>
      </c>
    </row>
    <row r="33" spans="1:48" ht="12.75">
      <c r="A33" s="5" t="s">
        <v>16</v>
      </c>
      <c r="B33" s="5" t="s">
        <v>73</v>
      </c>
      <c r="C33" s="5" t="s">
        <v>88</v>
      </c>
      <c r="D33" s="5" t="s">
        <v>174</v>
      </c>
      <c r="E33" s="5" t="s">
        <v>254</v>
      </c>
      <c r="F33" s="19">
        <v>7</v>
      </c>
      <c r="G33" s="19">
        <v>0</v>
      </c>
      <c r="H33" s="19">
        <f>F33*AE33</f>
        <v>0</v>
      </c>
      <c r="I33" s="19">
        <f>J33-H33</f>
        <v>0</v>
      </c>
      <c r="J33" s="19">
        <f>F33*G33</f>
        <v>0</v>
      </c>
      <c r="K33" s="19">
        <v>2.20898</v>
      </c>
      <c r="L33" s="19">
        <f>F33*K33</f>
        <v>15.46286</v>
      </c>
      <c r="M33" s="32"/>
      <c r="P33" s="37">
        <f>IF(AG33="5",J33,0)</f>
        <v>0</v>
      </c>
      <c r="R33" s="37">
        <f>IF(AG33="1",H33,0)</f>
        <v>0</v>
      </c>
      <c r="S33" s="37">
        <f>IF(AG33="1",I33,0)</f>
        <v>0</v>
      </c>
      <c r="T33" s="37">
        <f>IF(AG33="7",H33,0)</f>
        <v>0</v>
      </c>
      <c r="U33" s="37">
        <f>IF(AG33="7",I33,0)</f>
        <v>0</v>
      </c>
      <c r="V33" s="37">
        <f>IF(AG33="2",H33,0)</f>
        <v>0</v>
      </c>
      <c r="W33" s="37">
        <f>IF(AG33="2",I33,0)</f>
        <v>0</v>
      </c>
      <c r="X33" s="37">
        <f>IF(AG33="0",J33,0)</f>
        <v>0</v>
      </c>
      <c r="Y33" s="28" t="s">
        <v>73</v>
      </c>
      <c r="Z33" s="19">
        <f>IF(AD33=0,J33,0)</f>
        <v>0</v>
      </c>
      <c r="AA33" s="19">
        <f>IF(AD33=15,J33,0)</f>
        <v>0</v>
      </c>
      <c r="AB33" s="19">
        <f>IF(AD33=21,J33,0)</f>
        <v>0</v>
      </c>
      <c r="AD33" s="37">
        <v>21</v>
      </c>
      <c r="AE33" s="37">
        <f>G33*0.302695736434109</f>
        <v>0</v>
      </c>
      <c r="AF33" s="37">
        <f>G33*(1-0.302695736434109)</f>
        <v>0</v>
      </c>
      <c r="AG33" s="32" t="s">
        <v>7</v>
      </c>
      <c r="AM33" s="37">
        <f>F33*AE33</f>
        <v>0</v>
      </c>
      <c r="AN33" s="37">
        <f>F33*AF33</f>
        <v>0</v>
      </c>
      <c r="AO33" s="38" t="s">
        <v>288</v>
      </c>
      <c r="AP33" s="38" t="s">
        <v>303</v>
      </c>
      <c r="AQ33" s="28" t="s">
        <v>317</v>
      </c>
      <c r="AS33" s="37">
        <f>AM33+AN33</f>
        <v>0</v>
      </c>
      <c r="AT33" s="37">
        <f>G33/(100-AU33)*100</f>
        <v>0</v>
      </c>
      <c r="AU33" s="37">
        <v>0</v>
      </c>
      <c r="AV33" s="37">
        <f>L33</f>
        <v>15.46286</v>
      </c>
    </row>
    <row r="34" spans="1:48" ht="12.75">
      <c r="A34" s="5" t="s">
        <v>17</v>
      </c>
      <c r="B34" s="5" t="s">
        <v>73</v>
      </c>
      <c r="C34" s="5" t="s">
        <v>89</v>
      </c>
      <c r="D34" s="5" t="s">
        <v>175</v>
      </c>
      <c r="E34" s="5" t="s">
        <v>253</v>
      </c>
      <c r="F34" s="19">
        <v>195</v>
      </c>
      <c r="G34" s="19">
        <v>0</v>
      </c>
      <c r="H34" s="19">
        <f>F34*AE34</f>
        <v>0</v>
      </c>
      <c r="I34" s="19">
        <f>J34-H34</f>
        <v>0</v>
      </c>
      <c r="J34" s="19">
        <f>F34*G34</f>
        <v>0</v>
      </c>
      <c r="K34" s="19">
        <v>0</v>
      </c>
      <c r="L34" s="19">
        <f>F34*K34</f>
        <v>0</v>
      </c>
      <c r="M34" s="32"/>
      <c r="P34" s="37">
        <f>IF(AG34="5",J34,0)</f>
        <v>0</v>
      </c>
      <c r="R34" s="37">
        <f>IF(AG34="1",H34,0)</f>
        <v>0</v>
      </c>
      <c r="S34" s="37">
        <f>IF(AG34="1",I34,0)</f>
        <v>0</v>
      </c>
      <c r="T34" s="37">
        <f>IF(AG34="7",H34,0)</f>
        <v>0</v>
      </c>
      <c r="U34" s="37">
        <f>IF(AG34="7",I34,0)</f>
        <v>0</v>
      </c>
      <c r="V34" s="37">
        <f>IF(AG34="2",H34,0)</f>
        <v>0</v>
      </c>
      <c r="W34" s="37">
        <f>IF(AG34="2",I34,0)</f>
        <v>0</v>
      </c>
      <c r="X34" s="37">
        <f>IF(AG34="0",J34,0)</f>
        <v>0</v>
      </c>
      <c r="Y34" s="28" t="s">
        <v>73</v>
      </c>
      <c r="Z34" s="19">
        <f>IF(AD34=0,J34,0)</f>
        <v>0</v>
      </c>
      <c r="AA34" s="19">
        <f>IF(AD34=15,J34,0)</f>
        <v>0</v>
      </c>
      <c r="AB34" s="19">
        <f>IF(AD34=21,J34,0)</f>
        <v>0</v>
      </c>
      <c r="AD34" s="37">
        <v>21</v>
      </c>
      <c r="AE34" s="37">
        <f>G34*0.354838709677419</f>
        <v>0</v>
      </c>
      <c r="AF34" s="37">
        <f>G34*(1-0.354838709677419)</f>
        <v>0</v>
      </c>
      <c r="AG34" s="32" t="s">
        <v>7</v>
      </c>
      <c r="AM34" s="37">
        <f>F34*AE34</f>
        <v>0</v>
      </c>
      <c r="AN34" s="37">
        <f>F34*AF34</f>
        <v>0</v>
      </c>
      <c r="AO34" s="38" t="s">
        <v>288</v>
      </c>
      <c r="AP34" s="38" t="s">
        <v>303</v>
      </c>
      <c r="AQ34" s="28" t="s">
        <v>317</v>
      </c>
      <c r="AS34" s="37">
        <f>AM34+AN34</f>
        <v>0</v>
      </c>
      <c r="AT34" s="37">
        <f>G34/(100-AU34)*100</f>
        <v>0</v>
      </c>
      <c r="AU34" s="37">
        <v>0</v>
      </c>
      <c r="AV34" s="37">
        <f>L34</f>
        <v>0</v>
      </c>
    </row>
    <row r="35" spans="1:48" ht="12.75">
      <c r="A35" s="5" t="s">
        <v>18</v>
      </c>
      <c r="B35" s="5" t="s">
        <v>73</v>
      </c>
      <c r="C35" s="5" t="s">
        <v>90</v>
      </c>
      <c r="D35" s="5" t="s">
        <v>176</v>
      </c>
      <c r="E35" s="5" t="s">
        <v>254</v>
      </c>
      <c r="F35" s="19">
        <v>7</v>
      </c>
      <c r="G35" s="19">
        <v>0</v>
      </c>
      <c r="H35" s="19">
        <f>F35*AE35</f>
        <v>0</v>
      </c>
      <c r="I35" s="19">
        <f>J35-H35</f>
        <v>0</v>
      </c>
      <c r="J35" s="19">
        <f>F35*G35</f>
        <v>0</v>
      </c>
      <c r="K35" s="19">
        <v>0.00702</v>
      </c>
      <c r="L35" s="19">
        <f>F35*K35</f>
        <v>0.04914</v>
      </c>
      <c r="M35" s="32"/>
      <c r="P35" s="37">
        <f>IF(AG35="5",J35,0)</f>
        <v>0</v>
      </c>
      <c r="R35" s="37">
        <f>IF(AG35="1",H35,0)</f>
        <v>0</v>
      </c>
      <c r="S35" s="37">
        <f>IF(AG35="1",I35,0)</f>
        <v>0</v>
      </c>
      <c r="T35" s="37">
        <f>IF(AG35="7",H35,0)</f>
        <v>0</v>
      </c>
      <c r="U35" s="37">
        <f>IF(AG35="7",I35,0)</f>
        <v>0</v>
      </c>
      <c r="V35" s="37">
        <f>IF(AG35="2",H35,0)</f>
        <v>0</v>
      </c>
      <c r="W35" s="37">
        <f>IF(AG35="2",I35,0)</f>
        <v>0</v>
      </c>
      <c r="X35" s="37">
        <f>IF(AG35="0",J35,0)</f>
        <v>0</v>
      </c>
      <c r="Y35" s="28" t="s">
        <v>73</v>
      </c>
      <c r="Z35" s="19">
        <f>IF(AD35=0,J35,0)</f>
        <v>0</v>
      </c>
      <c r="AA35" s="19">
        <f>IF(AD35=15,J35,0)</f>
        <v>0</v>
      </c>
      <c r="AB35" s="19">
        <f>IF(AD35=21,J35,0)</f>
        <v>0</v>
      </c>
      <c r="AD35" s="37">
        <v>21</v>
      </c>
      <c r="AE35" s="37">
        <f>G35*0.0274494222045628</f>
        <v>0</v>
      </c>
      <c r="AF35" s="37">
        <f>G35*(1-0.0274494222045628)</f>
        <v>0</v>
      </c>
      <c r="AG35" s="32" t="s">
        <v>7</v>
      </c>
      <c r="AM35" s="37">
        <f>F35*AE35</f>
        <v>0</v>
      </c>
      <c r="AN35" s="37">
        <f>F35*AF35</f>
        <v>0</v>
      </c>
      <c r="AO35" s="38" t="s">
        <v>288</v>
      </c>
      <c r="AP35" s="38" t="s">
        <v>303</v>
      </c>
      <c r="AQ35" s="28" t="s">
        <v>317</v>
      </c>
      <c r="AS35" s="37">
        <f>AM35+AN35</f>
        <v>0</v>
      </c>
      <c r="AT35" s="37">
        <f>G35/(100-AU35)*100</f>
        <v>0</v>
      </c>
      <c r="AU35" s="37">
        <v>0</v>
      </c>
      <c r="AV35" s="37">
        <f>L35</f>
        <v>0.04914</v>
      </c>
    </row>
    <row r="36" spans="1:48" ht="12.75">
      <c r="A36" s="5" t="s">
        <v>19</v>
      </c>
      <c r="B36" s="5" t="s">
        <v>73</v>
      </c>
      <c r="C36" s="5" t="s">
        <v>91</v>
      </c>
      <c r="D36" s="5" t="s">
        <v>177</v>
      </c>
      <c r="E36" s="5" t="s">
        <v>254</v>
      </c>
      <c r="F36" s="19">
        <v>29</v>
      </c>
      <c r="G36" s="19">
        <v>0</v>
      </c>
      <c r="H36" s="19">
        <f>F36*AE36</f>
        <v>0</v>
      </c>
      <c r="I36" s="19">
        <f>J36-H36</f>
        <v>0</v>
      </c>
      <c r="J36" s="19">
        <f>F36*G36</f>
        <v>0</v>
      </c>
      <c r="K36" s="19">
        <v>0.02111</v>
      </c>
      <c r="L36" s="19">
        <f>F36*K36</f>
        <v>0.61219</v>
      </c>
      <c r="M36" s="32"/>
      <c r="P36" s="37">
        <f>IF(AG36="5",J36,0)</f>
        <v>0</v>
      </c>
      <c r="R36" s="37">
        <f>IF(AG36="1",H36,0)</f>
        <v>0</v>
      </c>
      <c r="S36" s="37">
        <f>IF(AG36="1",I36,0)</f>
        <v>0</v>
      </c>
      <c r="T36" s="37">
        <f>IF(AG36="7",H36,0)</f>
        <v>0</v>
      </c>
      <c r="U36" s="37">
        <f>IF(AG36="7",I36,0)</f>
        <v>0</v>
      </c>
      <c r="V36" s="37">
        <f>IF(AG36="2",H36,0)</f>
        <v>0</v>
      </c>
      <c r="W36" s="37">
        <f>IF(AG36="2",I36,0)</f>
        <v>0</v>
      </c>
      <c r="X36" s="37">
        <f>IF(AG36="0",J36,0)</f>
        <v>0</v>
      </c>
      <c r="Y36" s="28" t="s">
        <v>73</v>
      </c>
      <c r="Z36" s="19">
        <f>IF(AD36=0,J36,0)</f>
        <v>0</v>
      </c>
      <c r="AA36" s="19">
        <f>IF(AD36=15,J36,0)</f>
        <v>0</v>
      </c>
      <c r="AB36" s="19">
        <f>IF(AD36=21,J36,0)</f>
        <v>0</v>
      </c>
      <c r="AD36" s="37">
        <v>21</v>
      </c>
      <c r="AE36" s="37">
        <f>G36*0.0415771812080537</f>
        <v>0</v>
      </c>
      <c r="AF36" s="37">
        <f>G36*(1-0.0415771812080537)</f>
        <v>0</v>
      </c>
      <c r="AG36" s="32" t="s">
        <v>7</v>
      </c>
      <c r="AM36" s="37">
        <f>F36*AE36</f>
        <v>0</v>
      </c>
      <c r="AN36" s="37">
        <f>F36*AF36</f>
        <v>0</v>
      </c>
      <c r="AO36" s="38" t="s">
        <v>288</v>
      </c>
      <c r="AP36" s="38" t="s">
        <v>303</v>
      </c>
      <c r="AQ36" s="28" t="s">
        <v>317</v>
      </c>
      <c r="AS36" s="37">
        <f>AM36+AN36</f>
        <v>0</v>
      </c>
      <c r="AT36" s="37">
        <f>G36/(100-AU36)*100</f>
        <v>0</v>
      </c>
      <c r="AU36" s="37">
        <v>0</v>
      </c>
      <c r="AV36" s="37">
        <f>L36</f>
        <v>0.61219</v>
      </c>
    </row>
    <row r="37" spans="1:37" ht="12.75">
      <c r="A37" s="4"/>
      <c r="B37" s="14" t="s">
        <v>73</v>
      </c>
      <c r="C37" s="14" t="s">
        <v>92</v>
      </c>
      <c r="D37" s="111" t="s">
        <v>178</v>
      </c>
      <c r="E37" s="112"/>
      <c r="F37" s="112"/>
      <c r="G37" s="112"/>
      <c r="H37" s="40">
        <f>SUM(H38:H40)</f>
        <v>0</v>
      </c>
      <c r="I37" s="40">
        <f>SUM(I38:I40)</f>
        <v>0</v>
      </c>
      <c r="J37" s="40">
        <f>H37+I37</f>
        <v>0</v>
      </c>
      <c r="K37" s="28"/>
      <c r="L37" s="40">
        <f>SUM(L38:L40)</f>
        <v>0.62472</v>
      </c>
      <c r="M37" s="28"/>
      <c r="Y37" s="28" t="s">
        <v>73</v>
      </c>
      <c r="AI37" s="40">
        <f>SUM(Z38:Z40)</f>
        <v>0</v>
      </c>
      <c r="AJ37" s="40">
        <f>SUM(AA38:AA40)</f>
        <v>0</v>
      </c>
      <c r="AK37" s="40">
        <f>SUM(AB38:AB40)</f>
        <v>0</v>
      </c>
    </row>
    <row r="38" spans="1:48" ht="12.75">
      <c r="A38" s="5" t="s">
        <v>20</v>
      </c>
      <c r="B38" s="5" t="s">
        <v>73</v>
      </c>
      <c r="C38" s="5" t="s">
        <v>93</v>
      </c>
      <c r="D38" s="5" t="s">
        <v>179</v>
      </c>
      <c r="E38" s="5" t="s">
        <v>255</v>
      </c>
      <c r="F38" s="19">
        <v>1</v>
      </c>
      <c r="G38" s="19">
        <v>0</v>
      </c>
      <c r="H38" s="19">
        <f>F38*AE38</f>
        <v>0</v>
      </c>
      <c r="I38" s="19">
        <f>J38-H38</f>
        <v>0</v>
      </c>
      <c r="J38" s="19">
        <f>F38*G38</f>
        <v>0</v>
      </c>
      <c r="K38" s="19">
        <v>0.62472</v>
      </c>
      <c r="L38" s="19">
        <f>F38*K38</f>
        <v>0.62472</v>
      </c>
      <c r="M38" s="32"/>
      <c r="P38" s="37">
        <f>IF(AG38="5",J38,0)</f>
        <v>0</v>
      </c>
      <c r="R38" s="37">
        <f>IF(AG38="1",H38,0)</f>
        <v>0</v>
      </c>
      <c r="S38" s="37">
        <f>IF(AG38="1",I38,0)</f>
        <v>0</v>
      </c>
      <c r="T38" s="37">
        <f>IF(AG38="7",H38,0)</f>
        <v>0</v>
      </c>
      <c r="U38" s="37">
        <f>IF(AG38="7",I38,0)</f>
        <v>0</v>
      </c>
      <c r="V38" s="37">
        <f>IF(AG38="2",H38,0)</f>
        <v>0</v>
      </c>
      <c r="W38" s="37">
        <f>IF(AG38="2",I38,0)</f>
        <v>0</v>
      </c>
      <c r="X38" s="37">
        <f>IF(AG38="0",J38,0)</f>
        <v>0</v>
      </c>
      <c r="Y38" s="28" t="s">
        <v>73</v>
      </c>
      <c r="Z38" s="19">
        <f>IF(AD38=0,J38,0)</f>
        <v>0</v>
      </c>
      <c r="AA38" s="19">
        <f>IF(AD38=15,J38,0)</f>
        <v>0</v>
      </c>
      <c r="AB38" s="19">
        <f>IF(AD38=21,J38,0)</f>
        <v>0</v>
      </c>
      <c r="AD38" s="37">
        <v>21</v>
      </c>
      <c r="AE38" s="37">
        <f>G38*0.499038659793815</f>
        <v>0</v>
      </c>
      <c r="AF38" s="37">
        <f>G38*(1-0.499038659793815)</f>
        <v>0</v>
      </c>
      <c r="AG38" s="32" t="s">
        <v>7</v>
      </c>
      <c r="AM38" s="37">
        <f>F38*AE38</f>
        <v>0</v>
      </c>
      <c r="AN38" s="37">
        <f>F38*AF38</f>
        <v>0</v>
      </c>
      <c r="AO38" s="38" t="s">
        <v>289</v>
      </c>
      <c r="AP38" s="38" t="s">
        <v>304</v>
      </c>
      <c r="AQ38" s="28" t="s">
        <v>317</v>
      </c>
      <c r="AS38" s="37">
        <f>AM38+AN38</f>
        <v>0</v>
      </c>
      <c r="AT38" s="37">
        <f>G38/(100-AU38)*100</f>
        <v>0</v>
      </c>
      <c r="AU38" s="37">
        <v>0</v>
      </c>
      <c r="AV38" s="37">
        <f>L38</f>
        <v>0.62472</v>
      </c>
    </row>
    <row r="39" spans="3:13" ht="25.5" customHeight="1">
      <c r="C39" s="16" t="s">
        <v>71</v>
      </c>
      <c r="D39" s="113" t="s">
        <v>180</v>
      </c>
      <c r="E39" s="114"/>
      <c r="F39" s="114"/>
      <c r="G39" s="114"/>
      <c r="H39" s="114"/>
      <c r="I39" s="114"/>
      <c r="J39" s="114"/>
      <c r="K39" s="114"/>
      <c r="L39" s="114"/>
      <c r="M39" s="114"/>
    </row>
    <row r="40" spans="1:48" ht="12.75">
      <c r="A40" s="5" t="s">
        <v>21</v>
      </c>
      <c r="B40" s="5" t="s">
        <v>73</v>
      </c>
      <c r="C40" s="5" t="s">
        <v>94</v>
      </c>
      <c r="D40" s="5" t="s">
        <v>181</v>
      </c>
      <c r="E40" s="5" t="s">
        <v>256</v>
      </c>
      <c r="F40" s="19">
        <v>28.04016</v>
      </c>
      <c r="G40" s="19">
        <v>0</v>
      </c>
      <c r="H40" s="19">
        <f>F40*AE40</f>
        <v>0</v>
      </c>
      <c r="I40" s="19">
        <f>J40-H40</f>
        <v>0</v>
      </c>
      <c r="J40" s="19">
        <f>F40*G40</f>
        <v>0</v>
      </c>
      <c r="K40" s="19">
        <v>0</v>
      </c>
      <c r="L40" s="19">
        <f>F40*K40</f>
        <v>0</v>
      </c>
      <c r="M40" s="32"/>
      <c r="P40" s="37">
        <f>IF(AG40="5",J40,0)</f>
        <v>0</v>
      </c>
      <c r="R40" s="37">
        <f>IF(AG40="1",H40,0)</f>
        <v>0</v>
      </c>
      <c r="S40" s="37">
        <f>IF(AG40="1",I40,0)</f>
        <v>0</v>
      </c>
      <c r="T40" s="37">
        <f>IF(AG40="7",H40,0)</f>
        <v>0</v>
      </c>
      <c r="U40" s="37">
        <f>IF(AG40="7",I40,0)</f>
        <v>0</v>
      </c>
      <c r="V40" s="37">
        <f>IF(AG40="2",H40,0)</f>
        <v>0</v>
      </c>
      <c r="W40" s="37">
        <f>IF(AG40="2",I40,0)</f>
        <v>0</v>
      </c>
      <c r="X40" s="37">
        <f>IF(AG40="0",J40,0)</f>
        <v>0</v>
      </c>
      <c r="Y40" s="28" t="s">
        <v>73</v>
      </c>
      <c r="Z40" s="19">
        <f>IF(AD40=0,J40,0)</f>
        <v>0</v>
      </c>
      <c r="AA40" s="19">
        <f>IF(AD40=15,J40,0)</f>
        <v>0</v>
      </c>
      <c r="AB40" s="19">
        <f>IF(AD40=21,J40,0)</f>
        <v>0</v>
      </c>
      <c r="AD40" s="37">
        <v>21</v>
      </c>
      <c r="AE40" s="37">
        <f>G40*0</f>
        <v>0</v>
      </c>
      <c r="AF40" s="37">
        <f>G40*(1-0)</f>
        <v>0</v>
      </c>
      <c r="AG40" s="32" t="s">
        <v>11</v>
      </c>
      <c r="AM40" s="37">
        <f>F40*AE40</f>
        <v>0</v>
      </c>
      <c r="AN40" s="37">
        <f>F40*AF40</f>
        <v>0</v>
      </c>
      <c r="AO40" s="38" t="s">
        <v>289</v>
      </c>
      <c r="AP40" s="38" t="s">
        <v>304</v>
      </c>
      <c r="AQ40" s="28" t="s">
        <v>317</v>
      </c>
      <c r="AS40" s="37">
        <f>AM40+AN40</f>
        <v>0</v>
      </c>
      <c r="AT40" s="37">
        <f>G40/(100-AU40)*100</f>
        <v>0</v>
      </c>
      <c r="AU40" s="37">
        <v>0</v>
      </c>
      <c r="AV40" s="37">
        <f>L40</f>
        <v>0</v>
      </c>
    </row>
    <row r="41" spans="1:37" ht="12.75">
      <c r="A41" s="4"/>
      <c r="B41" s="14" t="s">
        <v>73</v>
      </c>
      <c r="C41" s="14" t="s">
        <v>95</v>
      </c>
      <c r="D41" s="111" t="s">
        <v>182</v>
      </c>
      <c r="E41" s="112"/>
      <c r="F41" s="112"/>
      <c r="G41" s="112"/>
      <c r="H41" s="40">
        <f>SUM(H42:H42)</f>
        <v>0</v>
      </c>
      <c r="I41" s="40">
        <f>SUM(I42:I42)</f>
        <v>0</v>
      </c>
      <c r="J41" s="40">
        <f>H41+I41</f>
        <v>0</v>
      </c>
      <c r="K41" s="28"/>
      <c r="L41" s="40">
        <f>SUM(L42:L42)</f>
        <v>0.006</v>
      </c>
      <c r="M41" s="28"/>
      <c r="Y41" s="28" t="s">
        <v>73</v>
      </c>
      <c r="AI41" s="40">
        <f>SUM(Z42:Z42)</f>
        <v>0</v>
      </c>
      <c r="AJ41" s="40">
        <f>SUM(AA42:AA42)</f>
        <v>0</v>
      </c>
      <c r="AK41" s="40">
        <f>SUM(AB42:AB42)</f>
        <v>0</v>
      </c>
    </row>
    <row r="42" spans="1:48" ht="12.75">
      <c r="A42" s="5" t="s">
        <v>22</v>
      </c>
      <c r="B42" s="5" t="s">
        <v>73</v>
      </c>
      <c r="C42" s="5" t="s">
        <v>96</v>
      </c>
      <c r="D42" s="5" t="s">
        <v>183</v>
      </c>
      <c r="E42" s="5" t="s">
        <v>251</v>
      </c>
      <c r="F42" s="19">
        <v>300</v>
      </c>
      <c r="G42" s="19">
        <v>0</v>
      </c>
      <c r="H42" s="19">
        <f>F42*AE42</f>
        <v>0</v>
      </c>
      <c r="I42" s="19">
        <f>J42-H42</f>
        <v>0</v>
      </c>
      <c r="J42" s="19">
        <f>F42*G42</f>
        <v>0</v>
      </c>
      <c r="K42" s="19">
        <v>2E-05</v>
      </c>
      <c r="L42" s="19">
        <f>F42*K42</f>
        <v>0.006</v>
      </c>
      <c r="M42" s="32"/>
      <c r="P42" s="37">
        <f>IF(AG42="5",J42,0)</f>
        <v>0</v>
      </c>
      <c r="R42" s="37">
        <f>IF(AG42="1",H42,0)</f>
        <v>0</v>
      </c>
      <c r="S42" s="37">
        <f>IF(AG42="1",I42,0)</f>
        <v>0</v>
      </c>
      <c r="T42" s="37">
        <f>IF(AG42="7",H42,0)</f>
        <v>0</v>
      </c>
      <c r="U42" s="37">
        <f>IF(AG42="7",I42,0)</f>
        <v>0</v>
      </c>
      <c r="V42" s="37">
        <f>IF(AG42="2",H42,0)</f>
        <v>0</v>
      </c>
      <c r="W42" s="37">
        <f>IF(AG42="2",I42,0)</f>
        <v>0</v>
      </c>
      <c r="X42" s="37">
        <f>IF(AG42="0",J42,0)</f>
        <v>0</v>
      </c>
      <c r="Y42" s="28" t="s">
        <v>73</v>
      </c>
      <c r="Z42" s="19">
        <f>IF(AD42=0,J42,0)</f>
        <v>0</v>
      </c>
      <c r="AA42" s="19">
        <f>IF(AD42=15,J42,0)</f>
        <v>0</v>
      </c>
      <c r="AB42" s="19">
        <f>IF(AD42=21,J42,0)</f>
        <v>0</v>
      </c>
      <c r="AD42" s="37">
        <v>21</v>
      </c>
      <c r="AE42" s="37">
        <f>G42*0.160420775805391</f>
        <v>0</v>
      </c>
      <c r="AF42" s="37">
        <f>G42*(1-0.160420775805391)</f>
        <v>0</v>
      </c>
      <c r="AG42" s="32" t="s">
        <v>8</v>
      </c>
      <c r="AM42" s="37">
        <f>F42*AE42</f>
        <v>0</v>
      </c>
      <c r="AN42" s="37">
        <f>F42*AF42</f>
        <v>0</v>
      </c>
      <c r="AO42" s="38" t="s">
        <v>290</v>
      </c>
      <c r="AP42" s="38" t="s">
        <v>304</v>
      </c>
      <c r="AQ42" s="28" t="s">
        <v>317</v>
      </c>
      <c r="AS42" s="37">
        <f>AM42+AN42</f>
        <v>0</v>
      </c>
      <c r="AT42" s="37">
        <f>G42/(100-AU42)*100</f>
        <v>0</v>
      </c>
      <c r="AU42" s="37">
        <v>0</v>
      </c>
      <c r="AV42" s="37">
        <f>L42</f>
        <v>0.006</v>
      </c>
    </row>
    <row r="43" spans="3:13" ht="12.75">
      <c r="C43" s="16" t="s">
        <v>71</v>
      </c>
      <c r="D43" s="113" t="s">
        <v>184</v>
      </c>
      <c r="E43" s="114"/>
      <c r="F43" s="114"/>
      <c r="G43" s="114"/>
      <c r="H43" s="114"/>
      <c r="I43" s="114"/>
      <c r="J43" s="114"/>
      <c r="K43" s="114"/>
      <c r="L43" s="114"/>
      <c r="M43" s="114"/>
    </row>
    <row r="44" spans="1:37" ht="12.75">
      <c r="A44" s="4"/>
      <c r="B44" s="14" t="s">
        <v>73</v>
      </c>
      <c r="C44" s="14"/>
      <c r="D44" s="111" t="s">
        <v>185</v>
      </c>
      <c r="E44" s="112"/>
      <c r="F44" s="112"/>
      <c r="G44" s="112"/>
      <c r="H44" s="40">
        <f>SUM(H45:H53)</f>
        <v>0</v>
      </c>
      <c r="I44" s="40">
        <f>SUM(I45:I53)</f>
        <v>0</v>
      </c>
      <c r="J44" s="40">
        <f>H44+I44</f>
        <v>0</v>
      </c>
      <c r="K44" s="28"/>
      <c r="L44" s="40">
        <f>SUM(L45:L53)</f>
        <v>127.93235000000001</v>
      </c>
      <c r="M44" s="28"/>
      <c r="Y44" s="28" t="s">
        <v>73</v>
      </c>
      <c r="AI44" s="40">
        <f>SUM(Z45:Z53)</f>
        <v>0</v>
      </c>
      <c r="AJ44" s="40">
        <f>SUM(AA45:AA53)</f>
        <v>0</v>
      </c>
      <c r="AK44" s="40">
        <f>SUM(AB45:AB53)</f>
        <v>0</v>
      </c>
    </row>
    <row r="45" spans="1:48" ht="12.75">
      <c r="A45" s="6" t="s">
        <v>23</v>
      </c>
      <c r="B45" s="6" t="s">
        <v>73</v>
      </c>
      <c r="C45" s="6" t="s">
        <v>97</v>
      </c>
      <c r="D45" s="6" t="s">
        <v>186</v>
      </c>
      <c r="E45" s="6" t="s">
        <v>252</v>
      </c>
      <c r="F45" s="20">
        <v>65</v>
      </c>
      <c r="G45" s="20">
        <v>0</v>
      </c>
      <c r="H45" s="20">
        <f>F45*AE45</f>
        <v>0</v>
      </c>
      <c r="I45" s="20">
        <f>J45-H45</f>
        <v>0</v>
      </c>
      <c r="J45" s="20">
        <f>F45*G45</f>
        <v>0</v>
      </c>
      <c r="K45" s="20">
        <v>1.67</v>
      </c>
      <c r="L45" s="20">
        <f>F45*K45</f>
        <v>108.55</v>
      </c>
      <c r="M45" s="33"/>
      <c r="P45" s="37">
        <f>IF(AG45="5",J45,0)</f>
        <v>0</v>
      </c>
      <c r="R45" s="37">
        <f>IF(AG45="1",H45,0)</f>
        <v>0</v>
      </c>
      <c r="S45" s="37">
        <f>IF(AG45="1",I45,0)</f>
        <v>0</v>
      </c>
      <c r="T45" s="37">
        <f>IF(AG45="7",H45,0)</f>
        <v>0</v>
      </c>
      <c r="U45" s="37">
        <f>IF(AG45="7",I45,0)</f>
        <v>0</v>
      </c>
      <c r="V45" s="37">
        <f>IF(AG45="2",H45,0)</f>
        <v>0</v>
      </c>
      <c r="W45" s="37">
        <f>IF(AG45="2",I45,0)</f>
        <v>0</v>
      </c>
      <c r="X45" s="37">
        <f>IF(AG45="0",J45,0)</f>
        <v>0</v>
      </c>
      <c r="Y45" s="28" t="s">
        <v>73</v>
      </c>
      <c r="Z45" s="20">
        <f>IF(AD45=0,J45,0)</f>
        <v>0</v>
      </c>
      <c r="AA45" s="20">
        <f>IF(AD45=15,J45,0)</f>
        <v>0</v>
      </c>
      <c r="AB45" s="20">
        <f>IF(AD45=21,J45,0)</f>
        <v>0</v>
      </c>
      <c r="AD45" s="37">
        <v>21</v>
      </c>
      <c r="AE45" s="37">
        <f>G45*1</f>
        <v>0</v>
      </c>
      <c r="AF45" s="37">
        <f>G45*(1-1)</f>
        <v>0</v>
      </c>
      <c r="AG45" s="33" t="s">
        <v>281</v>
      </c>
      <c r="AM45" s="37">
        <f>F45*AE45</f>
        <v>0</v>
      </c>
      <c r="AN45" s="37">
        <f>F45*AF45</f>
        <v>0</v>
      </c>
      <c r="AO45" s="38" t="s">
        <v>291</v>
      </c>
      <c r="AP45" s="38" t="s">
        <v>305</v>
      </c>
      <c r="AQ45" s="28" t="s">
        <v>317</v>
      </c>
      <c r="AS45" s="37">
        <f>AM45+AN45</f>
        <v>0</v>
      </c>
      <c r="AT45" s="37">
        <f>G45/(100-AU45)*100</f>
        <v>0</v>
      </c>
      <c r="AU45" s="37">
        <v>0</v>
      </c>
      <c r="AV45" s="37">
        <f>L45</f>
        <v>108.55</v>
      </c>
    </row>
    <row r="46" spans="3:13" ht="12.75">
      <c r="C46" s="16" t="s">
        <v>71</v>
      </c>
      <c r="D46" s="113" t="s">
        <v>187</v>
      </c>
      <c r="E46" s="114"/>
      <c r="F46" s="114"/>
      <c r="G46" s="114"/>
      <c r="H46" s="114"/>
      <c r="I46" s="114"/>
      <c r="J46" s="114"/>
      <c r="K46" s="114"/>
      <c r="L46" s="114"/>
      <c r="M46" s="114"/>
    </row>
    <row r="47" spans="1:48" ht="12.75">
      <c r="A47" s="6" t="s">
        <v>24</v>
      </c>
      <c r="B47" s="6" t="s">
        <v>73</v>
      </c>
      <c r="C47" s="6" t="s">
        <v>98</v>
      </c>
      <c r="D47" s="6" t="s">
        <v>188</v>
      </c>
      <c r="E47" s="6" t="s">
        <v>254</v>
      </c>
      <c r="F47" s="20">
        <v>36</v>
      </c>
      <c r="G47" s="20">
        <v>0</v>
      </c>
      <c r="H47" s="20">
        <f aca="true" t="shared" si="0" ref="H47:H53">F47*AE47</f>
        <v>0</v>
      </c>
      <c r="I47" s="20">
        <f aca="true" t="shared" si="1" ref="I47:I53">J47-H47</f>
        <v>0</v>
      </c>
      <c r="J47" s="20">
        <f aca="true" t="shared" si="2" ref="J47:J53">F47*G47</f>
        <v>0</v>
      </c>
      <c r="K47" s="20">
        <v>0.0252</v>
      </c>
      <c r="L47" s="20">
        <f aca="true" t="shared" si="3" ref="L47:L53">F47*K47</f>
        <v>0.9072</v>
      </c>
      <c r="M47" s="33"/>
      <c r="P47" s="37">
        <f aca="true" t="shared" si="4" ref="P47:P53">IF(AG47="5",J47,0)</f>
        <v>0</v>
      </c>
      <c r="R47" s="37">
        <f aca="true" t="shared" si="5" ref="R47:R53">IF(AG47="1",H47,0)</f>
        <v>0</v>
      </c>
      <c r="S47" s="37">
        <f aca="true" t="shared" si="6" ref="S47:S53">IF(AG47="1",I47,0)</f>
        <v>0</v>
      </c>
      <c r="T47" s="37">
        <f aca="true" t="shared" si="7" ref="T47:T53">IF(AG47="7",H47,0)</f>
        <v>0</v>
      </c>
      <c r="U47" s="37">
        <f aca="true" t="shared" si="8" ref="U47:U53">IF(AG47="7",I47,0)</f>
        <v>0</v>
      </c>
      <c r="V47" s="37">
        <f aca="true" t="shared" si="9" ref="V47:V53">IF(AG47="2",H47,0)</f>
        <v>0</v>
      </c>
      <c r="W47" s="37">
        <f aca="true" t="shared" si="10" ref="W47:W53">IF(AG47="2",I47,0)</f>
        <v>0</v>
      </c>
      <c r="X47" s="37">
        <f aca="true" t="shared" si="11" ref="X47:X53">IF(AG47="0",J47,0)</f>
        <v>0</v>
      </c>
      <c r="Y47" s="28" t="s">
        <v>73</v>
      </c>
      <c r="Z47" s="20">
        <f aca="true" t="shared" si="12" ref="Z47:Z53">IF(AD47=0,J47,0)</f>
        <v>0</v>
      </c>
      <c r="AA47" s="20">
        <f aca="true" t="shared" si="13" ref="AA47:AA53">IF(AD47=15,J47,0)</f>
        <v>0</v>
      </c>
      <c r="AB47" s="20">
        <f aca="true" t="shared" si="14" ref="AB47:AB53">IF(AD47=21,J47,0)</f>
        <v>0</v>
      </c>
      <c r="AD47" s="37">
        <v>21</v>
      </c>
      <c r="AE47" s="37">
        <f aca="true" t="shared" si="15" ref="AE47:AE53">G47*1</f>
        <v>0</v>
      </c>
      <c r="AF47" s="37">
        <f aca="true" t="shared" si="16" ref="AF47:AF53">G47*(1-1)</f>
        <v>0</v>
      </c>
      <c r="AG47" s="33" t="s">
        <v>281</v>
      </c>
      <c r="AM47" s="37">
        <f aca="true" t="shared" si="17" ref="AM47:AM53">F47*AE47</f>
        <v>0</v>
      </c>
      <c r="AN47" s="37">
        <f aca="true" t="shared" si="18" ref="AN47:AN53">F47*AF47</f>
        <v>0</v>
      </c>
      <c r="AO47" s="38" t="s">
        <v>291</v>
      </c>
      <c r="AP47" s="38" t="s">
        <v>305</v>
      </c>
      <c r="AQ47" s="28" t="s">
        <v>317</v>
      </c>
      <c r="AS47" s="37">
        <f aca="true" t="shared" si="19" ref="AS47:AS53">AM47+AN47</f>
        <v>0</v>
      </c>
      <c r="AT47" s="37">
        <f aca="true" t="shared" si="20" ref="AT47:AT53">G47/(100-AU47)*100</f>
        <v>0</v>
      </c>
      <c r="AU47" s="37">
        <v>0</v>
      </c>
      <c r="AV47" s="37">
        <f aca="true" t="shared" si="21" ref="AV47:AV53">L47</f>
        <v>0.9072</v>
      </c>
    </row>
    <row r="48" spans="1:48" ht="12.75">
      <c r="A48" s="6" t="s">
        <v>25</v>
      </c>
      <c r="B48" s="6" t="s">
        <v>73</v>
      </c>
      <c r="C48" s="6" t="s">
        <v>99</v>
      </c>
      <c r="D48" s="6" t="s">
        <v>189</v>
      </c>
      <c r="E48" s="6" t="s">
        <v>254</v>
      </c>
      <c r="F48" s="20">
        <v>3</v>
      </c>
      <c r="G48" s="20">
        <v>0</v>
      </c>
      <c r="H48" s="20">
        <f t="shared" si="0"/>
        <v>0</v>
      </c>
      <c r="I48" s="20">
        <f t="shared" si="1"/>
        <v>0</v>
      </c>
      <c r="J48" s="20">
        <f t="shared" si="2"/>
        <v>0</v>
      </c>
      <c r="K48" s="20">
        <v>0.01605</v>
      </c>
      <c r="L48" s="20">
        <f t="shared" si="3"/>
        <v>0.04815</v>
      </c>
      <c r="M48" s="33"/>
      <c r="P48" s="37">
        <f t="shared" si="4"/>
        <v>0</v>
      </c>
      <c r="R48" s="37">
        <f t="shared" si="5"/>
        <v>0</v>
      </c>
      <c r="S48" s="37">
        <f t="shared" si="6"/>
        <v>0</v>
      </c>
      <c r="T48" s="37">
        <f t="shared" si="7"/>
        <v>0</v>
      </c>
      <c r="U48" s="37">
        <f t="shared" si="8"/>
        <v>0</v>
      </c>
      <c r="V48" s="37">
        <f t="shared" si="9"/>
        <v>0</v>
      </c>
      <c r="W48" s="37">
        <f t="shared" si="10"/>
        <v>0</v>
      </c>
      <c r="X48" s="37">
        <f t="shared" si="11"/>
        <v>0</v>
      </c>
      <c r="Y48" s="28" t="s">
        <v>73</v>
      </c>
      <c r="Z48" s="20">
        <f t="shared" si="12"/>
        <v>0</v>
      </c>
      <c r="AA48" s="20">
        <f t="shared" si="13"/>
        <v>0</v>
      </c>
      <c r="AB48" s="20">
        <f t="shared" si="14"/>
        <v>0</v>
      </c>
      <c r="AD48" s="37">
        <v>21</v>
      </c>
      <c r="AE48" s="37">
        <f t="shared" si="15"/>
        <v>0</v>
      </c>
      <c r="AF48" s="37">
        <f t="shared" si="16"/>
        <v>0</v>
      </c>
      <c r="AG48" s="33" t="s">
        <v>281</v>
      </c>
      <c r="AM48" s="37">
        <f t="shared" si="17"/>
        <v>0</v>
      </c>
      <c r="AN48" s="37">
        <f t="shared" si="18"/>
        <v>0</v>
      </c>
      <c r="AO48" s="38" t="s">
        <v>291</v>
      </c>
      <c r="AP48" s="38" t="s">
        <v>305</v>
      </c>
      <c r="AQ48" s="28" t="s">
        <v>317</v>
      </c>
      <c r="AS48" s="37">
        <f t="shared" si="19"/>
        <v>0</v>
      </c>
      <c r="AT48" s="37">
        <f t="shared" si="20"/>
        <v>0</v>
      </c>
      <c r="AU48" s="37">
        <v>0</v>
      </c>
      <c r="AV48" s="37">
        <f t="shared" si="21"/>
        <v>0.04815</v>
      </c>
    </row>
    <row r="49" spans="1:48" ht="12.75">
      <c r="A49" s="6" t="s">
        <v>26</v>
      </c>
      <c r="B49" s="6" t="s">
        <v>73</v>
      </c>
      <c r="C49" s="6" t="s">
        <v>100</v>
      </c>
      <c r="D49" s="6" t="s">
        <v>190</v>
      </c>
      <c r="E49" s="6" t="s">
        <v>254</v>
      </c>
      <c r="F49" s="20">
        <v>8</v>
      </c>
      <c r="G49" s="20">
        <v>0</v>
      </c>
      <c r="H49" s="20">
        <f t="shared" si="0"/>
        <v>0</v>
      </c>
      <c r="I49" s="20">
        <f t="shared" si="1"/>
        <v>0</v>
      </c>
      <c r="J49" s="20">
        <f t="shared" si="2"/>
        <v>0</v>
      </c>
      <c r="K49" s="20">
        <v>0.5</v>
      </c>
      <c r="L49" s="20">
        <f t="shared" si="3"/>
        <v>4</v>
      </c>
      <c r="M49" s="33"/>
      <c r="P49" s="37">
        <f t="shared" si="4"/>
        <v>0</v>
      </c>
      <c r="R49" s="37">
        <f t="shared" si="5"/>
        <v>0</v>
      </c>
      <c r="S49" s="37">
        <f t="shared" si="6"/>
        <v>0</v>
      </c>
      <c r="T49" s="37">
        <f t="shared" si="7"/>
        <v>0</v>
      </c>
      <c r="U49" s="37">
        <f t="shared" si="8"/>
        <v>0</v>
      </c>
      <c r="V49" s="37">
        <f t="shared" si="9"/>
        <v>0</v>
      </c>
      <c r="W49" s="37">
        <f t="shared" si="10"/>
        <v>0</v>
      </c>
      <c r="X49" s="37">
        <f t="shared" si="11"/>
        <v>0</v>
      </c>
      <c r="Y49" s="28" t="s">
        <v>73</v>
      </c>
      <c r="Z49" s="20">
        <f t="shared" si="12"/>
        <v>0</v>
      </c>
      <c r="AA49" s="20">
        <f t="shared" si="13"/>
        <v>0</v>
      </c>
      <c r="AB49" s="20">
        <f t="shared" si="14"/>
        <v>0</v>
      </c>
      <c r="AD49" s="37">
        <v>21</v>
      </c>
      <c r="AE49" s="37">
        <f t="shared" si="15"/>
        <v>0</v>
      </c>
      <c r="AF49" s="37">
        <f t="shared" si="16"/>
        <v>0</v>
      </c>
      <c r="AG49" s="33" t="s">
        <v>281</v>
      </c>
      <c r="AM49" s="37">
        <f t="shared" si="17"/>
        <v>0</v>
      </c>
      <c r="AN49" s="37">
        <f t="shared" si="18"/>
        <v>0</v>
      </c>
      <c r="AO49" s="38" t="s">
        <v>291</v>
      </c>
      <c r="AP49" s="38" t="s">
        <v>305</v>
      </c>
      <c r="AQ49" s="28" t="s">
        <v>317</v>
      </c>
      <c r="AS49" s="37">
        <f t="shared" si="19"/>
        <v>0</v>
      </c>
      <c r="AT49" s="37">
        <f t="shared" si="20"/>
        <v>0</v>
      </c>
      <c r="AU49" s="37">
        <v>0</v>
      </c>
      <c r="AV49" s="37">
        <f t="shared" si="21"/>
        <v>4</v>
      </c>
    </row>
    <row r="50" spans="1:48" ht="12.75">
      <c r="A50" s="6" t="s">
        <v>27</v>
      </c>
      <c r="B50" s="6" t="s">
        <v>73</v>
      </c>
      <c r="C50" s="6" t="s">
        <v>101</v>
      </c>
      <c r="D50" s="6" t="s">
        <v>191</v>
      </c>
      <c r="E50" s="6" t="s">
        <v>254</v>
      </c>
      <c r="F50" s="20">
        <v>7</v>
      </c>
      <c r="G50" s="20">
        <v>0</v>
      </c>
      <c r="H50" s="20">
        <f t="shared" si="0"/>
        <v>0</v>
      </c>
      <c r="I50" s="20">
        <f t="shared" si="1"/>
        <v>0</v>
      </c>
      <c r="J50" s="20">
        <f t="shared" si="2"/>
        <v>0</v>
      </c>
      <c r="K50" s="20">
        <v>1.6</v>
      </c>
      <c r="L50" s="20">
        <f t="shared" si="3"/>
        <v>11.200000000000001</v>
      </c>
      <c r="M50" s="33"/>
      <c r="P50" s="37">
        <f t="shared" si="4"/>
        <v>0</v>
      </c>
      <c r="R50" s="37">
        <f t="shared" si="5"/>
        <v>0</v>
      </c>
      <c r="S50" s="37">
        <f t="shared" si="6"/>
        <v>0</v>
      </c>
      <c r="T50" s="37">
        <f t="shared" si="7"/>
        <v>0</v>
      </c>
      <c r="U50" s="37">
        <f t="shared" si="8"/>
        <v>0</v>
      </c>
      <c r="V50" s="37">
        <f t="shared" si="9"/>
        <v>0</v>
      </c>
      <c r="W50" s="37">
        <f t="shared" si="10"/>
        <v>0</v>
      </c>
      <c r="X50" s="37">
        <f t="shared" si="11"/>
        <v>0</v>
      </c>
      <c r="Y50" s="28" t="s">
        <v>73</v>
      </c>
      <c r="Z50" s="20">
        <f t="shared" si="12"/>
        <v>0</v>
      </c>
      <c r="AA50" s="20">
        <f t="shared" si="13"/>
        <v>0</v>
      </c>
      <c r="AB50" s="20">
        <f t="shared" si="14"/>
        <v>0</v>
      </c>
      <c r="AD50" s="37">
        <v>21</v>
      </c>
      <c r="AE50" s="37">
        <f t="shared" si="15"/>
        <v>0</v>
      </c>
      <c r="AF50" s="37">
        <f t="shared" si="16"/>
        <v>0</v>
      </c>
      <c r="AG50" s="33" t="s">
        <v>281</v>
      </c>
      <c r="AM50" s="37">
        <f t="shared" si="17"/>
        <v>0</v>
      </c>
      <c r="AN50" s="37">
        <f t="shared" si="18"/>
        <v>0</v>
      </c>
      <c r="AO50" s="38" t="s">
        <v>291</v>
      </c>
      <c r="AP50" s="38" t="s">
        <v>305</v>
      </c>
      <c r="AQ50" s="28" t="s">
        <v>317</v>
      </c>
      <c r="AS50" s="37">
        <f t="shared" si="19"/>
        <v>0</v>
      </c>
      <c r="AT50" s="37">
        <f t="shared" si="20"/>
        <v>0</v>
      </c>
      <c r="AU50" s="37">
        <v>0</v>
      </c>
      <c r="AV50" s="37">
        <f t="shared" si="21"/>
        <v>11.200000000000001</v>
      </c>
    </row>
    <row r="51" spans="1:48" ht="12.75">
      <c r="A51" s="6" t="s">
        <v>28</v>
      </c>
      <c r="B51" s="6" t="s">
        <v>73</v>
      </c>
      <c r="C51" s="6" t="s">
        <v>102</v>
      </c>
      <c r="D51" s="6" t="s">
        <v>192</v>
      </c>
      <c r="E51" s="6" t="s">
        <v>254</v>
      </c>
      <c r="F51" s="20">
        <v>7</v>
      </c>
      <c r="G51" s="20">
        <v>0</v>
      </c>
      <c r="H51" s="20">
        <f t="shared" si="0"/>
        <v>0</v>
      </c>
      <c r="I51" s="20">
        <f t="shared" si="1"/>
        <v>0</v>
      </c>
      <c r="J51" s="20">
        <f t="shared" si="2"/>
        <v>0</v>
      </c>
      <c r="K51" s="20">
        <v>0.366</v>
      </c>
      <c r="L51" s="20">
        <f t="shared" si="3"/>
        <v>2.562</v>
      </c>
      <c r="M51" s="33"/>
      <c r="P51" s="37">
        <f t="shared" si="4"/>
        <v>0</v>
      </c>
      <c r="R51" s="37">
        <f t="shared" si="5"/>
        <v>0</v>
      </c>
      <c r="S51" s="37">
        <f t="shared" si="6"/>
        <v>0</v>
      </c>
      <c r="T51" s="37">
        <f t="shared" si="7"/>
        <v>0</v>
      </c>
      <c r="U51" s="37">
        <f t="shared" si="8"/>
        <v>0</v>
      </c>
      <c r="V51" s="37">
        <f t="shared" si="9"/>
        <v>0</v>
      </c>
      <c r="W51" s="37">
        <f t="shared" si="10"/>
        <v>0</v>
      </c>
      <c r="X51" s="37">
        <f t="shared" si="11"/>
        <v>0</v>
      </c>
      <c r="Y51" s="28" t="s">
        <v>73</v>
      </c>
      <c r="Z51" s="20">
        <f t="shared" si="12"/>
        <v>0</v>
      </c>
      <c r="AA51" s="20">
        <f t="shared" si="13"/>
        <v>0</v>
      </c>
      <c r="AB51" s="20">
        <f t="shared" si="14"/>
        <v>0</v>
      </c>
      <c r="AD51" s="37">
        <v>21</v>
      </c>
      <c r="AE51" s="37">
        <f t="shared" si="15"/>
        <v>0</v>
      </c>
      <c r="AF51" s="37">
        <f t="shared" si="16"/>
        <v>0</v>
      </c>
      <c r="AG51" s="33" t="s">
        <v>281</v>
      </c>
      <c r="AM51" s="37">
        <f t="shared" si="17"/>
        <v>0</v>
      </c>
      <c r="AN51" s="37">
        <f t="shared" si="18"/>
        <v>0</v>
      </c>
      <c r="AO51" s="38" t="s">
        <v>291</v>
      </c>
      <c r="AP51" s="38" t="s">
        <v>305</v>
      </c>
      <c r="AQ51" s="28" t="s">
        <v>317</v>
      </c>
      <c r="AS51" s="37">
        <f t="shared" si="19"/>
        <v>0</v>
      </c>
      <c r="AT51" s="37">
        <f t="shared" si="20"/>
        <v>0</v>
      </c>
      <c r="AU51" s="37">
        <v>0</v>
      </c>
      <c r="AV51" s="37">
        <f t="shared" si="21"/>
        <v>2.562</v>
      </c>
    </row>
    <row r="52" spans="1:48" ht="12.75">
      <c r="A52" s="6" t="s">
        <v>29</v>
      </c>
      <c r="B52" s="6" t="s">
        <v>73</v>
      </c>
      <c r="C52" s="6" t="s">
        <v>103</v>
      </c>
      <c r="D52" s="6" t="s">
        <v>193</v>
      </c>
      <c r="E52" s="6" t="s">
        <v>254</v>
      </c>
      <c r="F52" s="20">
        <v>7</v>
      </c>
      <c r="G52" s="20">
        <v>0</v>
      </c>
      <c r="H52" s="20">
        <f t="shared" si="0"/>
        <v>0</v>
      </c>
      <c r="I52" s="20">
        <f t="shared" si="1"/>
        <v>0</v>
      </c>
      <c r="J52" s="20">
        <f t="shared" si="2"/>
        <v>0</v>
      </c>
      <c r="K52" s="20">
        <v>0.04</v>
      </c>
      <c r="L52" s="20">
        <f t="shared" si="3"/>
        <v>0.28</v>
      </c>
      <c r="M52" s="33"/>
      <c r="P52" s="37">
        <f t="shared" si="4"/>
        <v>0</v>
      </c>
      <c r="R52" s="37">
        <f t="shared" si="5"/>
        <v>0</v>
      </c>
      <c r="S52" s="37">
        <f t="shared" si="6"/>
        <v>0</v>
      </c>
      <c r="T52" s="37">
        <f t="shared" si="7"/>
        <v>0</v>
      </c>
      <c r="U52" s="37">
        <f t="shared" si="8"/>
        <v>0</v>
      </c>
      <c r="V52" s="37">
        <f t="shared" si="9"/>
        <v>0</v>
      </c>
      <c r="W52" s="37">
        <f t="shared" si="10"/>
        <v>0</v>
      </c>
      <c r="X52" s="37">
        <f t="shared" si="11"/>
        <v>0</v>
      </c>
      <c r="Y52" s="28" t="s">
        <v>73</v>
      </c>
      <c r="Z52" s="20">
        <f t="shared" si="12"/>
        <v>0</v>
      </c>
      <c r="AA52" s="20">
        <f t="shared" si="13"/>
        <v>0</v>
      </c>
      <c r="AB52" s="20">
        <f t="shared" si="14"/>
        <v>0</v>
      </c>
      <c r="AD52" s="37">
        <v>21</v>
      </c>
      <c r="AE52" s="37">
        <f t="shared" si="15"/>
        <v>0</v>
      </c>
      <c r="AF52" s="37">
        <f t="shared" si="16"/>
        <v>0</v>
      </c>
      <c r="AG52" s="33" t="s">
        <v>281</v>
      </c>
      <c r="AM52" s="37">
        <f t="shared" si="17"/>
        <v>0</v>
      </c>
      <c r="AN52" s="37">
        <f t="shared" si="18"/>
        <v>0</v>
      </c>
      <c r="AO52" s="38" t="s">
        <v>291</v>
      </c>
      <c r="AP52" s="38" t="s">
        <v>305</v>
      </c>
      <c r="AQ52" s="28" t="s">
        <v>317</v>
      </c>
      <c r="AS52" s="37">
        <f t="shared" si="19"/>
        <v>0</v>
      </c>
      <c r="AT52" s="37">
        <f t="shared" si="20"/>
        <v>0</v>
      </c>
      <c r="AU52" s="37">
        <v>0</v>
      </c>
      <c r="AV52" s="37">
        <f t="shared" si="21"/>
        <v>0.28</v>
      </c>
    </row>
    <row r="53" spans="1:48" ht="12.75">
      <c r="A53" s="6" t="s">
        <v>30</v>
      </c>
      <c r="B53" s="6" t="s">
        <v>73</v>
      </c>
      <c r="C53" s="6" t="s">
        <v>104</v>
      </c>
      <c r="D53" s="6" t="s">
        <v>194</v>
      </c>
      <c r="E53" s="6" t="s">
        <v>254</v>
      </c>
      <c r="F53" s="20">
        <v>7</v>
      </c>
      <c r="G53" s="20">
        <v>0</v>
      </c>
      <c r="H53" s="20">
        <f t="shared" si="0"/>
        <v>0</v>
      </c>
      <c r="I53" s="20">
        <f t="shared" si="1"/>
        <v>0</v>
      </c>
      <c r="J53" s="20">
        <f t="shared" si="2"/>
        <v>0</v>
      </c>
      <c r="K53" s="20">
        <v>0.055</v>
      </c>
      <c r="L53" s="20">
        <f t="shared" si="3"/>
        <v>0.385</v>
      </c>
      <c r="M53" s="33"/>
      <c r="P53" s="37">
        <f t="shared" si="4"/>
        <v>0</v>
      </c>
      <c r="R53" s="37">
        <f t="shared" si="5"/>
        <v>0</v>
      </c>
      <c r="S53" s="37">
        <f t="shared" si="6"/>
        <v>0</v>
      </c>
      <c r="T53" s="37">
        <f t="shared" si="7"/>
        <v>0</v>
      </c>
      <c r="U53" s="37">
        <f t="shared" si="8"/>
        <v>0</v>
      </c>
      <c r="V53" s="37">
        <f t="shared" si="9"/>
        <v>0</v>
      </c>
      <c r="W53" s="37">
        <f t="shared" si="10"/>
        <v>0</v>
      </c>
      <c r="X53" s="37">
        <f t="shared" si="11"/>
        <v>0</v>
      </c>
      <c r="Y53" s="28" t="s">
        <v>73</v>
      </c>
      <c r="Z53" s="20">
        <f t="shared" si="12"/>
        <v>0</v>
      </c>
      <c r="AA53" s="20">
        <f t="shared" si="13"/>
        <v>0</v>
      </c>
      <c r="AB53" s="20">
        <f t="shared" si="14"/>
        <v>0</v>
      </c>
      <c r="AD53" s="37">
        <v>21</v>
      </c>
      <c r="AE53" s="37">
        <f t="shared" si="15"/>
        <v>0</v>
      </c>
      <c r="AF53" s="37">
        <f t="shared" si="16"/>
        <v>0</v>
      </c>
      <c r="AG53" s="33" t="s">
        <v>281</v>
      </c>
      <c r="AM53" s="37">
        <f t="shared" si="17"/>
        <v>0</v>
      </c>
      <c r="AN53" s="37">
        <f t="shared" si="18"/>
        <v>0</v>
      </c>
      <c r="AO53" s="38" t="s">
        <v>291</v>
      </c>
      <c r="AP53" s="38" t="s">
        <v>305</v>
      </c>
      <c r="AQ53" s="28" t="s">
        <v>317</v>
      </c>
      <c r="AS53" s="37">
        <f t="shared" si="19"/>
        <v>0</v>
      </c>
      <c r="AT53" s="37">
        <f t="shared" si="20"/>
        <v>0</v>
      </c>
      <c r="AU53" s="37">
        <v>0</v>
      </c>
      <c r="AV53" s="37">
        <f t="shared" si="21"/>
        <v>0.385</v>
      </c>
    </row>
    <row r="54" spans="1:13" ht="12.75">
      <c r="A54" s="7"/>
      <c r="B54" s="15" t="s">
        <v>74</v>
      </c>
      <c r="C54" s="15"/>
      <c r="D54" s="120" t="s">
        <v>195</v>
      </c>
      <c r="E54" s="121"/>
      <c r="F54" s="121"/>
      <c r="G54" s="121"/>
      <c r="H54" s="41">
        <f>H55+H59+H62+H70+H72+H75+H78+H81+H91+H94+H99+H102+H107+H109+H112+H116</f>
        <v>0</v>
      </c>
      <c r="I54" s="41">
        <f>I55+I59+I62+I70+I72+I75+I78+I81+I91+I94+I99+I102+I107+I109+I112+I116</f>
        <v>0</v>
      </c>
      <c r="J54" s="41">
        <f>H54+I54</f>
        <v>0</v>
      </c>
      <c r="K54" s="29"/>
      <c r="L54" s="41">
        <f>L55+L59+L62+L70+L72+L75+L78+L81+L91+L94+L99+L102+L107+L109+L112+L116</f>
        <v>216.74574</v>
      </c>
      <c r="M54" s="29"/>
    </row>
    <row r="55" spans="1:37" ht="12.75">
      <c r="A55" s="4"/>
      <c r="B55" s="14" t="s">
        <v>74</v>
      </c>
      <c r="C55" s="14" t="s">
        <v>17</v>
      </c>
      <c r="D55" s="111" t="s">
        <v>154</v>
      </c>
      <c r="E55" s="112"/>
      <c r="F55" s="112"/>
      <c r="G55" s="112"/>
      <c r="H55" s="40">
        <f>SUM(H56:H58)</f>
        <v>0</v>
      </c>
      <c r="I55" s="40">
        <f>SUM(I56:I58)</f>
        <v>0</v>
      </c>
      <c r="J55" s="40">
        <f>H55+I55</f>
        <v>0</v>
      </c>
      <c r="K55" s="28"/>
      <c r="L55" s="40">
        <f>SUM(L56:L58)</f>
        <v>18.7201</v>
      </c>
      <c r="M55" s="28"/>
      <c r="Y55" s="28" t="s">
        <v>74</v>
      </c>
      <c r="AI55" s="40">
        <f>SUM(Z56:Z58)</f>
        <v>0</v>
      </c>
      <c r="AJ55" s="40">
        <f>SUM(AA56:AA58)</f>
        <v>0</v>
      </c>
      <c r="AK55" s="40">
        <f>SUM(AB56:AB58)</f>
        <v>0</v>
      </c>
    </row>
    <row r="56" spans="1:48" ht="12.75">
      <c r="A56" s="5" t="s">
        <v>31</v>
      </c>
      <c r="B56" s="5" t="s">
        <v>74</v>
      </c>
      <c r="C56" s="5" t="s">
        <v>105</v>
      </c>
      <c r="D56" s="5" t="s">
        <v>196</v>
      </c>
      <c r="E56" s="5" t="s">
        <v>254</v>
      </c>
      <c r="F56" s="19">
        <v>1</v>
      </c>
      <c r="G56" s="19">
        <v>0</v>
      </c>
      <c r="H56" s="19">
        <f>F56*AE56</f>
        <v>0</v>
      </c>
      <c r="I56" s="19">
        <f>J56-H56</f>
        <v>0</v>
      </c>
      <c r="J56" s="19">
        <f>F56*G56</f>
        <v>0</v>
      </c>
      <c r="K56" s="19">
        <v>0.0001</v>
      </c>
      <c r="L56" s="19">
        <f>F56*K56</f>
        <v>0.0001</v>
      </c>
      <c r="M56" s="32"/>
      <c r="P56" s="37">
        <f>IF(AG56="5",J56,0)</f>
        <v>0</v>
      </c>
      <c r="R56" s="37">
        <f>IF(AG56="1",H56,0)</f>
        <v>0</v>
      </c>
      <c r="S56" s="37">
        <f>IF(AG56="1",I56,0)</f>
        <v>0</v>
      </c>
      <c r="T56" s="37">
        <f>IF(AG56="7",H56,0)</f>
        <v>0</v>
      </c>
      <c r="U56" s="37">
        <f>IF(AG56="7",I56,0)</f>
        <v>0</v>
      </c>
      <c r="V56" s="37">
        <f>IF(AG56="2",H56,0)</f>
        <v>0</v>
      </c>
      <c r="W56" s="37">
        <f>IF(AG56="2",I56,0)</f>
        <v>0</v>
      </c>
      <c r="X56" s="37">
        <f>IF(AG56="0",J56,0)</f>
        <v>0</v>
      </c>
      <c r="Y56" s="28" t="s">
        <v>74</v>
      </c>
      <c r="Z56" s="19">
        <f>IF(AD56=0,J56,0)</f>
        <v>0</v>
      </c>
      <c r="AA56" s="19">
        <f>IF(AD56=15,J56,0)</f>
        <v>0</v>
      </c>
      <c r="AB56" s="19">
        <f>IF(AD56=21,J56,0)</f>
        <v>0</v>
      </c>
      <c r="AD56" s="37">
        <v>21</v>
      </c>
      <c r="AE56" s="37">
        <f>G56*0.00458488228004957</f>
        <v>0</v>
      </c>
      <c r="AF56" s="37">
        <f>G56*(1-0.00458488228004957)</f>
        <v>0</v>
      </c>
      <c r="AG56" s="32" t="s">
        <v>7</v>
      </c>
      <c r="AM56" s="37">
        <f>F56*AE56</f>
        <v>0</v>
      </c>
      <c r="AN56" s="37">
        <f>F56*AF56</f>
        <v>0</v>
      </c>
      <c r="AO56" s="38" t="s">
        <v>282</v>
      </c>
      <c r="AP56" s="38" t="s">
        <v>306</v>
      </c>
      <c r="AQ56" s="28" t="s">
        <v>318</v>
      </c>
      <c r="AS56" s="37">
        <f>AM56+AN56</f>
        <v>0</v>
      </c>
      <c r="AT56" s="37">
        <f>G56/(100-AU56)*100</f>
        <v>0</v>
      </c>
      <c r="AU56" s="37">
        <v>0</v>
      </c>
      <c r="AV56" s="37">
        <f>L56</f>
        <v>0.0001</v>
      </c>
    </row>
    <row r="57" spans="1:48" ht="12.75">
      <c r="A57" s="5" t="s">
        <v>32</v>
      </c>
      <c r="B57" s="5" t="s">
        <v>74</v>
      </c>
      <c r="C57" s="5" t="s">
        <v>106</v>
      </c>
      <c r="D57" s="5" t="s">
        <v>197</v>
      </c>
      <c r="E57" s="5" t="s">
        <v>251</v>
      </c>
      <c r="F57" s="19">
        <v>60</v>
      </c>
      <c r="G57" s="19">
        <v>0</v>
      </c>
      <c r="H57" s="19">
        <f>F57*AE57</f>
        <v>0</v>
      </c>
      <c r="I57" s="19">
        <f>J57-H57</f>
        <v>0</v>
      </c>
      <c r="J57" s="19">
        <f>F57*G57</f>
        <v>0</v>
      </c>
      <c r="K57" s="19">
        <v>0.132</v>
      </c>
      <c r="L57" s="19">
        <f>F57*K57</f>
        <v>7.92</v>
      </c>
      <c r="M57" s="32"/>
      <c r="P57" s="37">
        <f>IF(AG57="5",J57,0)</f>
        <v>0</v>
      </c>
      <c r="R57" s="37">
        <f>IF(AG57="1",H57,0)</f>
        <v>0</v>
      </c>
      <c r="S57" s="37">
        <f>IF(AG57="1",I57,0)</f>
        <v>0</v>
      </c>
      <c r="T57" s="37">
        <f>IF(AG57="7",H57,0)</f>
        <v>0</v>
      </c>
      <c r="U57" s="37">
        <f>IF(AG57="7",I57,0)</f>
        <v>0</v>
      </c>
      <c r="V57" s="37">
        <f>IF(AG57="2",H57,0)</f>
        <v>0</v>
      </c>
      <c r="W57" s="37">
        <f>IF(AG57="2",I57,0)</f>
        <v>0</v>
      </c>
      <c r="X57" s="37">
        <f>IF(AG57="0",J57,0)</f>
        <v>0</v>
      </c>
      <c r="Y57" s="28" t="s">
        <v>74</v>
      </c>
      <c r="Z57" s="19">
        <f>IF(AD57=0,J57,0)</f>
        <v>0</v>
      </c>
      <c r="AA57" s="19">
        <f>IF(AD57=15,J57,0)</f>
        <v>0</v>
      </c>
      <c r="AB57" s="19">
        <f>IF(AD57=21,J57,0)</f>
        <v>0</v>
      </c>
      <c r="AD57" s="37">
        <v>21</v>
      </c>
      <c r="AE57" s="37">
        <f>G57*0</f>
        <v>0</v>
      </c>
      <c r="AF57" s="37">
        <f>G57*(1-0)</f>
        <v>0</v>
      </c>
      <c r="AG57" s="32" t="s">
        <v>7</v>
      </c>
      <c r="AM57" s="37">
        <f>F57*AE57</f>
        <v>0</v>
      </c>
      <c r="AN57" s="37">
        <f>F57*AF57</f>
        <v>0</v>
      </c>
      <c r="AO57" s="38" t="s">
        <v>282</v>
      </c>
      <c r="AP57" s="38" t="s">
        <v>306</v>
      </c>
      <c r="AQ57" s="28" t="s">
        <v>318</v>
      </c>
      <c r="AS57" s="37">
        <f>AM57+AN57</f>
        <v>0</v>
      </c>
      <c r="AT57" s="37">
        <f>G57/(100-AU57)*100</f>
        <v>0</v>
      </c>
      <c r="AU57" s="37">
        <v>0</v>
      </c>
      <c r="AV57" s="37">
        <f>L57</f>
        <v>7.92</v>
      </c>
    </row>
    <row r="58" spans="1:48" ht="12.75">
      <c r="A58" s="5" t="s">
        <v>33</v>
      </c>
      <c r="B58" s="5" t="s">
        <v>74</v>
      </c>
      <c r="C58" s="5" t="s">
        <v>107</v>
      </c>
      <c r="D58" s="5" t="s">
        <v>198</v>
      </c>
      <c r="E58" s="5" t="s">
        <v>251</v>
      </c>
      <c r="F58" s="19">
        <v>30</v>
      </c>
      <c r="G58" s="19">
        <v>0</v>
      </c>
      <c r="H58" s="19">
        <f>F58*AE58</f>
        <v>0</v>
      </c>
      <c r="I58" s="19">
        <f>J58-H58</f>
        <v>0</v>
      </c>
      <c r="J58" s="19">
        <f>F58*G58</f>
        <v>0</v>
      </c>
      <c r="K58" s="19">
        <v>0.36</v>
      </c>
      <c r="L58" s="19">
        <f>F58*K58</f>
        <v>10.799999999999999</v>
      </c>
      <c r="M58" s="32"/>
      <c r="P58" s="37">
        <f>IF(AG58="5",J58,0)</f>
        <v>0</v>
      </c>
      <c r="R58" s="37">
        <f>IF(AG58="1",H58,0)</f>
        <v>0</v>
      </c>
      <c r="S58" s="37">
        <f>IF(AG58="1",I58,0)</f>
        <v>0</v>
      </c>
      <c r="T58" s="37">
        <f>IF(AG58="7",H58,0)</f>
        <v>0</v>
      </c>
      <c r="U58" s="37">
        <f>IF(AG58="7",I58,0)</f>
        <v>0</v>
      </c>
      <c r="V58" s="37">
        <f>IF(AG58="2",H58,0)</f>
        <v>0</v>
      </c>
      <c r="W58" s="37">
        <f>IF(AG58="2",I58,0)</f>
        <v>0</v>
      </c>
      <c r="X58" s="37">
        <f>IF(AG58="0",J58,0)</f>
        <v>0</v>
      </c>
      <c r="Y58" s="28" t="s">
        <v>74</v>
      </c>
      <c r="Z58" s="19">
        <f>IF(AD58=0,J58,0)</f>
        <v>0</v>
      </c>
      <c r="AA58" s="19">
        <f>IF(AD58=15,J58,0)</f>
        <v>0</v>
      </c>
      <c r="AB58" s="19">
        <f>IF(AD58=21,J58,0)</f>
        <v>0</v>
      </c>
      <c r="AD58" s="37">
        <v>21</v>
      </c>
      <c r="AE58" s="37">
        <f>G58*0</f>
        <v>0</v>
      </c>
      <c r="AF58" s="37">
        <f>G58*(1-0)</f>
        <v>0</v>
      </c>
      <c r="AG58" s="32" t="s">
        <v>7</v>
      </c>
      <c r="AM58" s="37">
        <f>F58*AE58</f>
        <v>0</v>
      </c>
      <c r="AN58" s="37">
        <f>F58*AF58</f>
        <v>0</v>
      </c>
      <c r="AO58" s="38" t="s">
        <v>282</v>
      </c>
      <c r="AP58" s="38" t="s">
        <v>306</v>
      </c>
      <c r="AQ58" s="28" t="s">
        <v>318</v>
      </c>
      <c r="AS58" s="37">
        <f>AM58+AN58</f>
        <v>0</v>
      </c>
      <c r="AT58" s="37">
        <f>G58/(100-AU58)*100</f>
        <v>0</v>
      </c>
      <c r="AU58" s="37">
        <v>0</v>
      </c>
      <c r="AV58" s="37">
        <f>L58</f>
        <v>10.799999999999999</v>
      </c>
    </row>
    <row r="59" spans="1:37" ht="12.75">
      <c r="A59" s="4"/>
      <c r="B59" s="14" t="s">
        <v>74</v>
      </c>
      <c r="C59" s="14" t="s">
        <v>19</v>
      </c>
      <c r="D59" s="111" t="s">
        <v>157</v>
      </c>
      <c r="E59" s="112"/>
      <c r="F59" s="112"/>
      <c r="G59" s="112"/>
      <c r="H59" s="40">
        <f>SUM(H60:H60)</f>
        <v>0</v>
      </c>
      <c r="I59" s="40">
        <f>SUM(I60:I60)</f>
        <v>0</v>
      </c>
      <c r="J59" s="40">
        <f>H59+I59</f>
        <v>0</v>
      </c>
      <c r="K59" s="28"/>
      <c r="L59" s="40">
        <f>SUM(L60:L60)</f>
        <v>0</v>
      </c>
      <c r="M59" s="28"/>
      <c r="Y59" s="28" t="s">
        <v>74</v>
      </c>
      <c r="AI59" s="40">
        <f>SUM(Z60:Z60)</f>
        <v>0</v>
      </c>
      <c r="AJ59" s="40">
        <f>SUM(AA60:AA60)</f>
        <v>0</v>
      </c>
      <c r="AK59" s="40">
        <f>SUM(AB60:AB60)</f>
        <v>0</v>
      </c>
    </row>
    <row r="60" spans="1:48" ht="12.75">
      <c r="A60" s="5" t="s">
        <v>34</v>
      </c>
      <c r="B60" s="5" t="s">
        <v>74</v>
      </c>
      <c r="C60" s="5" t="s">
        <v>108</v>
      </c>
      <c r="D60" s="5" t="s">
        <v>199</v>
      </c>
      <c r="E60" s="5" t="s">
        <v>252</v>
      </c>
      <c r="F60" s="19">
        <v>5.25</v>
      </c>
      <c r="G60" s="19">
        <v>0</v>
      </c>
      <c r="H60" s="19">
        <f>F60*AE60</f>
        <v>0</v>
      </c>
      <c r="I60" s="19">
        <f>J60-H60</f>
        <v>0</v>
      </c>
      <c r="J60" s="19">
        <f>F60*G60</f>
        <v>0</v>
      </c>
      <c r="K60" s="19">
        <v>0</v>
      </c>
      <c r="L60" s="19">
        <f>F60*K60</f>
        <v>0</v>
      </c>
      <c r="M60" s="32"/>
      <c r="P60" s="37">
        <f>IF(AG60="5",J60,0)</f>
        <v>0</v>
      </c>
      <c r="R60" s="37">
        <f>IF(AG60="1",H60,0)</f>
        <v>0</v>
      </c>
      <c r="S60" s="37">
        <f>IF(AG60="1",I60,0)</f>
        <v>0</v>
      </c>
      <c r="T60" s="37">
        <f>IF(AG60="7",H60,0)</f>
        <v>0</v>
      </c>
      <c r="U60" s="37">
        <f>IF(AG60="7",I60,0)</f>
        <v>0</v>
      </c>
      <c r="V60" s="37">
        <f>IF(AG60="2",H60,0)</f>
        <v>0</v>
      </c>
      <c r="W60" s="37">
        <f>IF(AG60="2",I60,0)</f>
        <v>0</v>
      </c>
      <c r="X60" s="37">
        <f>IF(AG60="0",J60,0)</f>
        <v>0</v>
      </c>
      <c r="Y60" s="28" t="s">
        <v>74</v>
      </c>
      <c r="Z60" s="19">
        <f>IF(AD60=0,J60,0)</f>
        <v>0</v>
      </c>
      <c r="AA60" s="19">
        <f>IF(AD60=15,J60,0)</f>
        <v>0</v>
      </c>
      <c r="AB60" s="19">
        <f>IF(AD60=21,J60,0)</f>
        <v>0</v>
      </c>
      <c r="AD60" s="37">
        <v>21</v>
      </c>
      <c r="AE60" s="37">
        <f>G60*0</f>
        <v>0</v>
      </c>
      <c r="AF60" s="37">
        <f>G60*(1-0)</f>
        <v>0</v>
      </c>
      <c r="AG60" s="32" t="s">
        <v>7</v>
      </c>
      <c r="AM60" s="37">
        <f>F60*AE60</f>
        <v>0</v>
      </c>
      <c r="AN60" s="37">
        <f>F60*AF60</f>
        <v>0</v>
      </c>
      <c r="AO60" s="38" t="s">
        <v>283</v>
      </c>
      <c r="AP60" s="38" t="s">
        <v>306</v>
      </c>
      <c r="AQ60" s="28" t="s">
        <v>318</v>
      </c>
      <c r="AS60" s="37">
        <f>AM60+AN60</f>
        <v>0</v>
      </c>
      <c r="AT60" s="37">
        <f>G60/(100-AU60)*100</f>
        <v>0</v>
      </c>
      <c r="AU60" s="37">
        <v>0</v>
      </c>
      <c r="AV60" s="37">
        <f>L60</f>
        <v>0</v>
      </c>
    </row>
    <row r="61" spans="1:48" ht="12.75">
      <c r="A61" s="5"/>
      <c r="B61" s="5"/>
      <c r="C61" s="61" t="s">
        <v>71</v>
      </c>
      <c r="D61" s="60" t="s">
        <v>368</v>
      </c>
      <c r="E61" s="5"/>
      <c r="F61" s="19"/>
      <c r="G61" s="19"/>
      <c r="H61" s="19"/>
      <c r="I61" s="19"/>
      <c r="J61" s="19"/>
      <c r="K61" s="19"/>
      <c r="L61" s="19"/>
      <c r="M61" s="32"/>
      <c r="P61" s="37"/>
      <c r="R61" s="37"/>
      <c r="S61" s="37"/>
      <c r="T61" s="37"/>
      <c r="U61" s="37"/>
      <c r="V61" s="37"/>
      <c r="W61" s="37"/>
      <c r="X61" s="37"/>
      <c r="Y61" s="28"/>
      <c r="Z61" s="19"/>
      <c r="AA61" s="19"/>
      <c r="AB61" s="19"/>
      <c r="AD61" s="37"/>
      <c r="AE61" s="37"/>
      <c r="AF61" s="37"/>
      <c r="AG61" s="32"/>
      <c r="AM61" s="37"/>
      <c r="AN61" s="37"/>
      <c r="AO61" s="38"/>
      <c r="AP61" s="38"/>
      <c r="AQ61" s="28"/>
      <c r="AS61" s="37"/>
      <c r="AT61" s="37"/>
      <c r="AU61" s="37"/>
      <c r="AV61" s="37"/>
    </row>
    <row r="62" spans="1:37" ht="12.75">
      <c r="A62" s="4"/>
      <c r="B62" s="14" t="s">
        <v>74</v>
      </c>
      <c r="C62" s="14" t="s">
        <v>24</v>
      </c>
      <c r="D62" s="111" t="s">
        <v>166</v>
      </c>
      <c r="E62" s="112"/>
      <c r="F62" s="112"/>
      <c r="G62" s="112"/>
      <c r="H62" s="40">
        <f>SUM(H63:H68)</f>
        <v>0</v>
      </c>
      <c r="I62" s="40">
        <f>SUM(I63:I68)</f>
        <v>0</v>
      </c>
      <c r="J62" s="40">
        <f>H62+I62</f>
        <v>0</v>
      </c>
      <c r="K62" s="28"/>
      <c r="L62" s="40">
        <f>SUM(L63:L68)</f>
        <v>0</v>
      </c>
      <c r="M62" s="28"/>
      <c r="Y62" s="28" t="s">
        <v>74</v>
      </c>
      <c r="AI62" s="40">
        <f>SUM(Z63:Z68)</f>
        <v>0</v>
      </c>
      <c r="AJ62" s="40">
        <f>SUM(AA63:AA68)</f>
        <v>0</v>
      </c>
      <c r="AK62" s="40">
        <f>SUM(AB63:AB68)</f>
        <v>0</v>
      </c>
    </row>
    <row r="63" spans="1:48" ht="12.75">
      <c r="A63" s="5" t="s">
        <v>35</v>
      </c>
      <c r="B63" s="5" t="s">
        <v>74</v>
      </c>
      <c r="C63" s="5" t="s">
        <v>109</v>
      </c>
      <c r="D63" s="5" t="s">
        <v>200</v>
      </c>
      <c r="E63" s="5" t="s">
        <v>252</v>
      </c>
      <c r="F63" s="19">
        <v>61</v>
      </c>
      <c r="G63" s="19">
        <v>0</v>
      </c>
      <c r="H63" s="19">
        <f>F63*AE63</f>
        <v>0</v>
      </c>
      <c r="I63" s="19">
        <f>J63-H63</f>
        <v>0</v>
      </c>
      <c r="J63" s="19">
        <f>F63*G63</f>
        <v>0</v>
      </c>
      <c r="K63" s="19">
        <v>0</v>
      </c>
      <c r="L63" s="19">
        <f>F63*K63</f>
        <v>0</v>
      </c>
      <c r="M63" s="32"/>
      <c r="P63" s="37">
        <f>IF(AG63="5",J63,0)</f>
        <v>0</v>
      </c>
      <c r="R63" s="37">
        <f>IF(AG63="1",H63,0)</f>
        <v>0</v>
      </c>
      <c r="S63" s="37">
        <f>IF(AG63="1",I63,0)</f>
        <v>0</v>
      </c>
      <c r="T63" s="37">
        <f>IF(AG63="7",H63,0)</f>
        <v>0</v>
      </c>
      <c r="U63" s="37">
        <f>IF(AG63="7",I63,0)</f>
        <v>0</v>
      </c>
      <c r="V63" s="37">
        <f>IF(AG63="2",H63,0)</f>
        <v>0</v>
      </c>
      <c r="W63" s="37">
        <f>IF(AG63="2",I63,0)</f>
        <v>0</v>
      </c>
      <c r="X63" s="37">
        <f>IF(AG63="0",J63,0)</f>
        <v>0</v>
      </c>
      <c r="Y63" s="28" t="s">
        <v>74</v>
      </c>
      <c r="Z63" s="19">
        <f>IF(AD63=0,J63,0)</f>
        <v>0</v>
      </c>
      <c r="AA63" s="19">
        <f>IF(AD63=15,J63,0)</f>
        <v>0</v>
      </c>
      <c r="AB63" s="19">
        <f>IF(AD63=21,J63,0)</f>
        <v>0</v>
      </c>
      <c r="AD63" s="37">
        <v>21</v>
      </c>
      <c r="AE63" s="37">
        <f>G63*0</f>
        <v>0</v>
      </c>
      <c r="AF63" s="37">
        <f>G63*(1-0)</f>
        <v>0</v>
      </c>
      <c r="AG63" s="32" t="s">
        <v>7</v>
      </c>
      <c r="AM63" s="37">
        <f>F63*AE63</f>
        <v>0</v>
      </c>
      <c r="AN63" s="37">
        <f>F63*AF63</f>
        <v>0</v>
      </c>
      <c r="AO63" s="38" t="s">
        <v>286</v>
      </c>
      <c r="AP63" s="38" t="s">
        <v>306</v>
      </c>
      <c r="AQ63" s="28" t="s">
        <v>318</v>
      </c>
      <c r="AS63" s="37">
        <f>AM63+AN63</f>
        <v>0</v>
      </c>
      <c r="AT63" s="37">
        <f>G63/(100-AU63)*100</f>
        <v>0</v>
      </c>
      <c r="AU63" s="37">
        <v>0</v>
      </c>
      <c r="AV63" s="37">
        <f>L63</f>
        <v>0</v>
      </c>
    </row>
    <row r="64" spans="1:48" ht="12.75">
      <c r="A64" s="5"/>
      <c r="B64" s="5"/>
      <c r="C64" s="61" t="s">
        <v>71</v>
      </c>
      <c r="D64" s="60" t="s">
        <v>369</v>
      </c>
      <c r="E64" s="5"/>
      <c r="F64" s="19"/>
      <c r="G64" s="19"/>
      <c r="H64" s="19"/>
      <c r="I64" s="19"/>
      <c r="J64" s="19"/>
      <c r="K64" s="19"/>
      <c r="L64" s="19"/>
      <c r="M64" s="32"/>
      <c r="P64" s="37"/>
      <c r="R64" s="37"/>
      <c r="S64" s="37"/>
      <c r="T64" s="37"/>
      <c r="U64" s="37"/>
      <c r="V64" s="37"/>
      <c r="W64" s="37"/>
      <c r="X64" s="37"/>
      <c r="Y64" s="28"/>
      <c r="Z64" s="19"/>
      <c r="AA64" s="19"/>
      <c r="AB64" s="19"/>
      <c r="AD64" s="37"/>
      <c r="AE64" s="37"/>
      <c r="AF64" s="37"/>
      <c r="AG64" s="32"/>
      <c r="AM64" s="37"/>
      <c r="AN64" s="37"/>
      <c r="AO64" s="38"/>
      <c r="AP64" s="38"/>
      <c r="AQ64" s="28"/>
      <c r="AS64" s="37"/>
      <c r="AT64" s="37"/>
      <c r="AU64" s="37"/>
      <c r="AV64" s="37"/>
    </row>
    <row r="65" spans="1:48" ht="12.75">
      <c r="A65" s="5"/>
      <c r="B65" s="5"/>
      <c r="C65" s="5"/>
      <c r="D65" s="60" t="s">
        <v>370</v>
      </c>
      <c r="E65" s="5"/>
      <c r="F65" s="19"/>
      <c r="G65" s="19"/>
      <c r="H65" s="19"/>
      <c r="I65" s="19"/>
      <c r="J65" s="19"/>
      <c r="K65" s="19"/>
      <c r="L65" s="19"/>
      <c r="M65" s="32"/>
      <c r="P65" s="37"/>
      <c r="R65" s="37"/>
      <c r="S65" s="37"/>
      <c r="T65" s="37"/>
      <c r="U65" s="37"/>
      <c r="V65" s="37"/>
      <c r="W65" s="37"/>
      <c r="X65" s="37"/>
      <c r="Y65" s="28"/>
      <c r="Z65" s="19"/>
      <c r="AA65" s="19"/>
      <c r="AB65" s="19"/>
      <c r="AD65" s="37"/>
      <c r="AE65" s="37"/>
      <c r="AF65" s="37"/>
      <c r="AG65" s="32"/>
      <c r="AM65" s="37"/>
      <c r="AN65" s="37"/>
      <c r="AO65" s="38"/>
      <c r="AP65" s="38"/>
      <c r="AQ65" s="28"/>
      <c r="AS65" s="37"/>
      <c r="AT65" s="37"/>
      <c r="AU65" s="37"/>
      <c r="AV65" s="37"/>
    </row>
    <row r="66" spans="1:48" ht="12.75">
      <c r="A66" s="5"/>
      <c r="B66" s="5"/>
      <c r="C66" s="5"/>
      <c r="D66" s="60" t="s">
        <v>371</v>
      </c>
      <c r="E66" s="5"/>
      <c r="F66" s="19"/>
      <c r="G66" s="19"/>
      <c r="H66" s="19"/>
      <c r="I66" s="19"/>
      <c r="J66" s="19"/>
      <c r="K66" s="19"/>
      <c r="L66" s="19"/>
      <c r="M66" s="32"/>
      <c r="P66" s="37"/>
      <c r="R66" s="37"/>
      <c r="S66" s="37"/>
      <c r="T66" s="37"/>
      <c r="U66" s="37"/>
      <c r="V66" s="37"/>
      <c r="W66" s="37"/>
      <c r="X66" s="37"/>
      <c r="Y66" s="28"/>
      <c r="Z66" s="19"/>
      <c r="AA66" s="19"/>
      <c r="AB66" s="19"/>
      <c r="AD66" s="37"/>
      <c r="AE66" s="37"/>
      <c r="AF66" s="37"/>
      <c r="AG66" s="32"/>
      <c r="AM66" s="37"/>
      <c r="AN66" s="37"/>
      <c r="AO66" s="38"/>
      <c r="AP66" s="38"/>
      <c r="AQ66" s="28"/>
      <c r="AS66" s="37"/>
      <c r="AT66" s="37"/>
      <c r="AU66" s="37"/>
      <c r="AV66" s="37"/>
    </row>
    <row r="67" spans="1:48" ht="12.75">
      <c r="A67" s="5"/>
      <c r="B67" s="5"/>
      <c r="C67" s="5"/>
      <c r="D67" s="60" t="s">
        <v>372</v>
      </c>
      <c r="E67" s="5"/>
      <c r="F67" s="19"/>
      <c r="G67" s="19"/>
      <c r="H67" s="19"/>
      <c r="I67" s="19"/>
      <c r="J67" s="19"/>
      <c r="K67" s="19"/>
      <c r="L67" s="19"/>
      <c r="M67" s="32"/>
      <c r="P67" s="37"/>
      <c r="R67" s="37"/>
      <c r="S67" s="37"/>
      <c r="T67" s="37"/>
      <c r="U67" s="37"/>
      <c r="V67" s="37"/>
      <c r="W67" s="37"/>
      <c r="X67" s="37"/>
      <c r="Y67" s="28"/>
      <c r="Z67" s="19"/>
      <c r="AA67" s="19"/>
      <c r="AB67" s="19"/>
      <c r="AD67" s="37"/>
      <c r="AE67" s="37"/>
      <c r="AF67" s="37"/>
      <c r="AG67" s="32"/>
      <c r="AM67" s="37"/>
      <c r="AN67" s="37"/>
      <c r="AO67" s="38"/>
      <c r="AP67" s="38"/>
      <c r="AQ67" s="28"/>
      <c r="AS67" s="37"/>
      <c r="AT67" s="37"/>
      <c r="AU67" s="37"/>
      <c r="AV67" s="37"/>
    </row>
    <row r="68" spans="1:48" ht="12.75">
      <c r="A68" s="5" t="s">
        <v>36</v>
      </c>
      <c r="B68" s="5" t="s">
        <v>74</v>
      </c>
      <c r="C68" s="5" t="s">
        <v>110</v>
      </c>
      <c r="D68" s="5" t="s">
        <v>201</v>
      </c>
      <c r="E68" s="5" t="s">
        <v>251</v>
      </c>
      <c r="F68" s="19">
        <v>94</v>
      </c>
      <c r="G68" s="19">
        <v>0</v>
      </c>
      <c r="H68" s="19">
        <f>F68*AE68</f>
        <v>0</v>
      </c>
      <c r="I68" s="19">
        <f>J68-H68</f>
        <v>0</v>
      </c>
      <c r="J68" s="19">
        <f>F68*G68</f>
        <v>0</v>
      </c>
      <c r="K68" s="19">
        <v>0</v>
      </c>
      <c r="L68" s="19">
        <f>F68*K68</f>
        <v>0</v>
      </c>
      <c r="M68" s="32"/>
      <c r="P68" s="37">
        <f>IF(AG68="5",J68,0)</f>
        <v>0</v>
      </c>
      <c r="R68" s="37">
        <f>IF(AG68="1",H68,0)</f>
        <v>0</v>
      </c>
      <c r="S68" s="37">
        <f>IF(AG68="1",I68,0)</f>
        <v>0</v>
      </c>
      <c r="T68" s="37">
        <f>IF(AG68="7",H68,0)</f>
        <v>0</v>
      </c>
      <c r="U68" s="37">
        <f>IF(AG68="7",I68,0)</f>
        <v>0</v>
      </c>
      <c r="V68" s="37">
        <f>IF(AG68="2",H68,0)</f>
        <v>0</v>
      </c>
      <c r="W68" s="37">
        <f>IF(AG68="2",I68,0)</f>
        <v>0</v>
      </c>
      <c r="X68" s="37">
        <f>IF(AG68="0",J68,0)</f>
        <v>0</v>
      </c>
      <c r="Y68" s="28" t="s">
        <v>74</v>
      </c>
      <c r="Z68" s="19">
        <f>IF(AD68=0,J68,0)</f>
        <v>0</v>
      </c>
      <c r="AA68" s="19">
        <f>IF(AD68=15,J68,0)</f>
        <v>0</v>
      </c>
      <c r="AB68" s="19">
        <f>IF(AD68=21,J68,0)</f>
        <v>0</v>
      </c>
      <c r="AD68" s="37">
        <v>21</v>
      </c>
      <c r="AE68" s="37">
        <f>G68*0</f>
        <v>0</v>
      </c>
      <c r="AF68" s="37">
        <f>G68*(1-0)</f>
        <v>0</v>
      </c>
      <c r="AG68" s="32" t="s">
        <v>7</v>
      </c>
      <c r="AM68" s="37">
        <f>F68*AE68</f>
        <v>0</v>
      </c>
      <c r="AN68" s="37">
        <f>F68*AF68</f>
        <v>0</v>
      </c>
      <c r="AO68" s="38" t="s">
        <v>286</v>
      </c>
      <c r="AP68" s="38" t="s">
        <v>306</v>
      </c>
      <c r="AQ68" s="28" t="s">
        <v>318</v>
      </c>
      <c r="AS68" s="37">
        <f>AM68+AN68</f>
        <v>0</v>
      </c>
      <c r="AT68" s="37">
        <f>G68/(100-AU68)*100</f>
        <v>0</v>
      </c>
      <c r="AU68" s="37">
        <v>0</v>
      </c>
      <c r="AV68" s="37">
        <f>L68</f>
        <v>0</v>
      </c>
    </row>
    <row r="69" spans="1:48" ht="12.75">
      <c r="A69" s="5"/>
      <c r="B69" s="5"/>
      <c r="C69" s="61" t="s">
        <v>71</v>
      </c>
      <c r="D69" s="60" t="s">
        <v>373</v>
      </c>
      <c r="E69" s="5"/>
      <c r="F69" s="19"/>
      <c r="G69" s="19"/>
      <c r="H69" s="19"/>
      <c r="I69" s="19"/>
      <c r="J69" s="19"/>
      <c r="K69" s="19"/>
      <c r="L69" s="19"/>
      <c r="M69" s="32"/>
      <c r="P69" s="37"/>
      <c r="R69" s="37"/>
      <c r="S69" s="37"/>
      <c r="T69" s="37"/>
      <c r="U69" s="37"/>
      <c r="V69" s="37"/>
      <c r="W69" s="37"/>
      <c r="X69" s="37"/>
      <c r="Y69" s="28"/>
      <c r="Z69" s="19"/>
      <c r="AA69" s="19"/>
      <c r="AB69" s="19"/>
      <c r="AD69" s="37"/>
      <c r="AE69" s="37"/>
      <c r="AF69" s="37"/>
      <c r="AG69" s="32"/>
      <c r="AM69" s="37"/>
      <c r="AN69" s="37"/>
      <c r="AO69" s="38"/>
      <c r="AP69" s="38"/>
      <c r="AQ69" s="28"/>
      <c r="AS69" s="37"/>
      <c r="AT69" s="37"/>
      <c r="AU69" s="37"/>
      <c r="AV69" s="37"/>
    </row>
    <row r="70" spans="1:37" ht="12.75">
      <c r="A70" s="4"/>
      <c r="B70" s="14" t="s">
        <v>74</v>
      </c>
      <c r="C70" s="14" t="s">
        <v>27</v>
      </c>
      <c r="D70" s="111" t="s">
        <v>202</v>
      </c>
      <c r="E70" s="112"/>
      <c r="F70" s="112"/>
      <c r="G70" s="112"/>
      <c r="H70" s="40">
        <f>SUM(H71:H71)</f>
        <v>0</v>
      </c>
      <c r="I70" s="40">
        <f>SUM(I71:I71)</f>
        <v>0</v>
      </c>
      <c r="J70" s="40">
        <f>H70+I70</f>
        <v>0</v>
      </c>
      <c r="K70" s="28"/>
      <c r="L70" s="40">
        <f>SUM(L71:L71)</f>
        <v>0</v>
      </c>
      <c r="M70" s="28"/>
      <c r="Y70" s="28" t="s">
        <v>74</v>
      </c>
      <c r="AI70" s="40">
        <f>SUM(Z71:Z71)</f>
        <v>0</v>
      </c>
      <c r="AJ70" s="40">
        <f>SUM(AA71:AA71)</f>
        <v>0</v>
      </c>
      <c r="AK70" s="40">
        <f>SUM(AB71:AB71)</f>
        <v>0</v>
      </c>
    </row>
    <row r="71" spans="1:48" ht="12.75">
      <c r="A71" s="5" t="s">
        <v>37</v>
      </c>
      <c r="B71" s="5" t="s">
        <v>74</v>
      </c>
      <c r="C71" s="5" t="s">
        <v>111</v>
      </c>
      <c r="D71" s="5" t="s">
        <v>203</v>
      </c>
      <c r="E71" s="5" t="s">
        <v>251</v>
      </c>
      <c r="F71" s="19">
        <v>300</v>
      </c>
      <c r="G71" s="19">
        <v>0</v>
      </c>
      <c r="H71" s="19">
        <f>F71*AE71</f>
        <v>0</v>
      </c>
      <c r="I71" s="19">
        <f>J71-H71</f>
        <v>0</v>
      </c>
      <c r="J71" s="19">
        <f>F71*G71</f>
        <v>0</v>
      </c>
      <c r="K71" s="19">
        <v>0</v>
      </c>
      <c r="L71" s="19">
        <f>F71*K71</f>
        <v>0</v>
      </c>
      <c r="M71" s="32"/>
      <c r="P71" s="37">
        <f>IF(AG71="5",J71,0)</f>
        <v>0</v>
      </c>
      <c r="R71" s="37">
        <f>IF(AG71="1",H71,0)</f>
        <v>0</v>
      </c>
      <c r="S71" s="37">
        <f>IF(AG71="1",I71,0)</f>
        <v>0</v>
      </c>
      <c r="T71" s="37">
        <f>IF(AG71="7",H71,0)</f>
        <v>0</v>
      </c>
      <c r="U71" s="37">
        <f>IF(AG71="7",I71,0)</f>
        <v>0</v>
      </c>
      <c r="V71" s="37">
        <f>IF(AG71="2",H71,0)</f>
        <v>0</v>
      </c>
      <c r="W71" s="37">
        <f>IF(AG71="2",I71,0)</f>
        <v>0</v>
      </c>
      <c r="X71" s="37">
        <f>IF(AG71="0",J71,0)</f>
        <v>0</v>
      </c>
      <c r="Y71" s="28" t="s">
        <v>74</v>
      </c>
      <c r="Z71" s="19">
        <f>IF(AD71=0,J71,0)</f>
        <v>0</v>
      </c>
      <c r="AA71" s="19">
        <f>IF(AD71=15,J71,0)</f>
        <v>0</v>
      </c>
      <c r="AB71" s="19">
        <f>IF(AD71=21,J71,0)</f>
        <v>0</v>
      </c>
      <c r="AD71" s="37">
        <v>21</v>
      </c>
      <c r="AE71" s="37">
        <f>G71*0</f>
        <v>0</v>
      </c>
      <c r="AF71" s="37">
        <f>G71*(1-0)</f>
        <v>0</v>
      </c>
      <c r="AG71" s="32" t="s">
        <v>7</v>
      </c>
      <c r="AM71" s="37">
        <f>F71*AE71</f>
        <v>0</v>
      </c>
      <c r="AN71" s="37">
        <f>F71*AF71</f>
        <v>0</v>
      </c>
      <c r="AO71" s="38" t="s">
        <v>292</v>
      </c>
      <c r="AP71" s="38" t="s">
        <v>307</v>
      </c>
      <c r="AQ71" s="28" t="s">
        <v>318</v>
      </c>
      <c r="AS71" s="37">
        <f>AM71+AN71</f>
        <v>0</v>
      </c>
      <c r="AT71" s="37">
        <f>G71/(100-AU71)*100</f>
        <v>0</v>
      </c>
      <c r="AU71" s="37">
        <v>0</v>
      </c>
      <c r="AV71" s="37">
        <f>L71</f>
        <v>0</v>
      </c>
    </row>
    <row r="72" spans="1:37" ht="12.75">
      <c r="A72" s="4"/>
      <c r="B72" s="14" t="s">
        <v>74</v>
      </c>
      <c r="C72" s="14" t="s">
        <v>39</v>
      </c>
      <c r="D72" s="111" t="s">
        <v>204</v>
      </c>
      <c r="E72" s="112"/>
      <c r="F72" s="112"/>
      <c r="G72" s="112"/>
      <c r="H72" s="40">
        <f>SUM(H73:H73)</f>
        <v>0</v>
      </c>
      <c r="I72" s="40">
        <f>SUM(I73:I73)</f>
        <v>0</v>
      </c>
      <c r="J72" s="40">
        <f>H72+I72</f>
        <v>0</v>
      </c>
      <c r="K72" s="28"/>
      <c r="L72" s="40">
        <f>SUM(L73:L73)</f>
        <v>1.63625</v>
      </c>
      <c r="M72" s="28"/>
      <c r="Y72" s="28" t="s">
        <v>74</v>
      </c>
      <c r="AI72" s="40">
        <f>SUM(Z73:Z73)</f>
        <v>0</v>
      </c>
      <c r="AJ72" s="40">
        <f>SUM(AA73:AA73)</f>
        <v>0</v>
      </c>
      <c r="AK72" s="40">
        <f>SUM(AB73:AB73)</f>
        <v>0</v>
      </c>
    </row>
    <row r="73" spans="1:48" ht="12.75">
      <c r="A73" s="5" t="s">
        <v>38</v>
      </c>
      <c r="B73" s="5" t="s">
        <v>74</v>
      </c>
      <c r="C73" s="5" t="s">
        <v>112</v>
      </c>
      <c r="D73" s="5" t="s">
        <v>205</v>
      </c>
      <c r="E73" s="5" t="s">
        <v>253</v>
      </c>
      <c r="F73" s="19">
        <v>8.5</v>
      </c>
      <c r="G73" s="19">
        <v>0</v>
      </c>
      <c r="H73" s="19">
        <f>F73*AE73</f>
        <v>0</v>
      </c>
      <c r="I73" s="19">
        <f>J73-H73</f>
        <v>0</v>
      </c>
      <c r="J73" s="19">
        <f>F73*G73</f>
        <v>0</v>
      </c>
      <c r="K73" s="19">
        <v>0.1925</v>
      </c>
      <c r="L73" s="19">
        <f>F73*K73</f>
        <v>1.63625</v>
      </c>
      <c r="M73" s="32"/>
      <c r="P73" s="37">
        <f>IF(AG73="5",J73,0)</f>
        <v>0</v>
      </c>
      <c r="R73" s="37">
        <f>IF(AG73="1",H73,0)</f>
        <v>0</v>
      </c>
      <c r="S73" s="37">
        <f>IF(AG73="1",I73,0)</f>
        <v>0</v>
      </c>
      <c r="T73" s="37">
        <f>IF(AG73="7",H73,0)</f>
        <v>0</v>
      </c>
      <c r="U73" s="37">
        <f>IF(AG73="7",I73,0)</f>
        <v>0</v>
      </c>
      <c r="V73" s="37">
        <f>IF(AG73="2",H73,0)</f>
        <v>0</v>
      </c>
      <c r="W73" s="37">
        <f>IF(AG73="2",I73,0)</f>
        <v>0</v>
      </c>
      <c r="X73" s="37">
        <f>IF(AG73="0",J73,0)</f>
        <v>0</v>
      </c>
      <c r="Y73" s="28" t="s">
        <v>74</v>
      </c>
      <c r="Z73" s="19">
        <f>IF(AD73=0,J73,0)</f>
        <v>0</v>
      </c>
      <c r="AA73" s="19">
        <f>IF(AD73=15,J73,0)</f>
        <v>0</v>
      </c>
      <c r="AB73" s="19">
        <f>IF(AD73=21,J73,0)</f>
        <v>0</v>
      </c>
      <c r="AD73" s="37">
        <v>21</v>
      </c>
      <c r="AE73" s="37">
        <f>G73*0.249731707317073</f>
        <v>0</v>
      </c>
      <c r="AF73" s="37">
        <f>G73*(1-0.249731707317073)</f>
        <v>0</v>
      </c>
      <c r="AG73" s="32" t="s">
        <v>7</v>
      </c>
      <c r="AM73" s="37">
        <f>F73*AE73</f>
        <v>0</v>
      </c>
      <c r="AN73" s="37">
        <f>F73*AF73</f>
        <v>0</v>
      </c>
      <c r="AO73" s="38" t="s">
        <v>293</v>
      </c>
      <c r="AP73" s="38" t="s">
        <v>308</v>
      </c>
      <c r="AQ73" s="28" t="s">
        <v>318</v>
      </c>
      <c r="AS73" s="37">
        <f>AM73+AN73</f>
        <v>0</v>
      </c>
      <c r="AT73" s="37">
        <f>G73/(100-AU73)*100</f>
        <v>0</v>
      </c>
      <c r="AU73" s="37">
        <v>0</v>
      </c>
      <c r="AV73" s="37">
        <f>L73</f>
        <v>1.63625</v>
      </c>
    </row>
    <row r="74" spans="1:48" ht="12.75">
      <c r="A74" s="5"/>
      <c r="B74" s="5"/>
      <c r="C74" s="61" t="s">
        <v>71</v>
      </c>
      <c r="D74" s="60" t="s">
        <v>374</v>
      </c>
      <c r="E74" s="5"/>
      <c r="F74" s="19"/>
      <c r="G74" s="19"/>
      <c r="H74" s="19"/>
      <c r="I74" s="19"/>
      <c r="J74" s="19"/>
      <c r="K74" s="19"/>
      <c r="L74" s="19"/>
      <c r="M74" s="32"/>
      <c r="P74" s="37"/>
      <c r="R74" s="37"/>
      <c r="S74" s="37"/>
      <c r="T74" s="37"/>
      <c r="U74" s="37"/>
      <c r="V74" s="37"/>
      <c r="W74" s="37"/>
      <c r="X74" s="37"/>
      <c r="Y74" s="28"/>
      <c r="Z74" s="19"/>
      <c r="AA74" s="19"/>
      <c r="AB74" s="19"/>
      <c r="AD74" s="37"/>
      <c r="AE74" s="37"/>
      <c r="AF74" s="37"/>
      <c r="AG74" s="32"/>
      <c r="AM74" s="37"/>
      <c r="AN74" s="37"/>
      <c r="AO74" s="38"/>
      <c r="AP74" s="38"/>
      <c r="AQ74" s="28"/>
      <c r="AS74" s="37"/>
      <c r="AT74" s="37"/>
      <c r="AU74" s="37"/>
      <c r="AV74" s="37"/>
    </row>
    <row r="75" spans="1:37" ht="12.75">
      <c r="A75" s="4"/>
      <c r="B75" s="14" t="s">
        <v>74</v>
      </c>
      <c r="C75" s="14" t="s">
        <v>62</v>
      </c>
      <c r="D75" s="111" t="s">
        <v>206</v>
      </c>
      <c r="E75" s="112"/>
      <c r="F75" s="112"/>
      <c r="G75" s="112"/>
      <c r="H75" s="40">
        <f>SUM(H76:H76)</f>
        <v>0</v>
      </c>
      <c r="I75" s="40">
        <f>SUM(I76:I76)</f>
        <v>0</v>
      </c>
      <c r="J75" s="40">
        <f>H75+I75</f>
        <v>0</v>
      </c>
      <c r="K75" s="28"/>
      <c r="L75" s="40">
        <f>SUM(L76:L76)</f>
        <v>70.119</v>
      </c>
      <c r="M75" s="28"/>
      <c r="Y75" s="28" t="s">
        <v>74</v>
      </c>
      <c r="AI75" s="40">
        <f>SUM(Z76:Z76)</f>
        <v>0</v>
      </c>
      <c r="AJ75" s="40">
        <f>SUM(AA76:AA76)</f>
        <v>0</v>
      </c>
      <c r="AK75" s="40">
        <f>SUM(AB76:AB76)</f>
        <v>0</v>
      </c>
    </row>
    <row r="76" spans="1:48" ht="12.75">
      <c r="A76" s="5" t="s">
        <v>39</v>
      </c>
      <c r="B76" s="5" t="s">
        <v>74</v>
      </c>
      <c r="C76" s="5" t="s">
        <v>113</v>
      </c>
      <c r="D76" s="5" t="s">
        <v>207</v>
      </c>
      <c r="E76" s="5" t="s">
        <v>251</v>
      </c>
      <c r="F76" s="19">
        <v>212</v>
      </c>
      <c r="G76" s="19">
        <v>0</v>
      </c>
      <c r="H76" s="19">
        <f>F76*AE76</f>
        <v>0</v>
      </c>
      <c r="I76" s="19">
        <f>J76-H76</f>
        <v>0</v>
      </c>
      <c r="J76" s="19">
        <f>F76*G76</f>
        <v>0</v>
      </c>
      <c r="K76" s="19">
        <v>0.33075</v>
      </c>
      <c r="L76" s="19">
        <f>F76*K76</f>
        <v>70.119</v>
      </c>
      <c r="M76" s="32"/>
      <c r="P76" s="37">
        <f>IF(AG76="5",J76,0)</f>
        <v>0</v>
      </c>
      <c r="R76" s="37">
        <f>IF(AG76="1",H76,0)</f>
        <v>0</v>
      </c>
      <c r="S76" s="37">
        <f>IF(AG76="1",I76,0)</f>
        <v>0</v>
      </c>
      <c r="T76" s="37">
        <f>IF(AG76="7",H76,0)</f>
        <v>0</v>
      </c>
      <c r="U76" s="37">
        <f>IF(AG76="7",I76,0)</f>
        <v>0</v>
      </c>
      <c r="V76" s="37">
        <f>IF(AG76="2",H76,0)</f>
        <v>0</v>
      </c>
      <c r="W76" s="37">
        <f>IF(AG76="2",I76,0)</f>
        <v>0</v>
      </c>
      <c r="X76" s="37">
        <f>IF(AG76="0",J76,0)</f>
        <v>0</v>
      </c>
      <c r="Y76" s="28" t="s">
        <v>74</v>
      </c>
      <c r="Z76" s="19">
        <f>IF(AD76=0,J76,0)</f>
        <v>0</v>
      </c>
      <c r="AA76" s="19">
        <f>IF(AD76=15,J76,0)</f>
        <v>0</v>
      </c>
      <c r="AB76" s="19">
        <f>IF(AD76=21,J76,0)</f>
        <v>0</v>
      </c>
      <c r="AD76" s="37">
        <v>21</v>
      </c>
      <c r="AE76" s="37">
        <f>G76*0.854059869628505</f>
        <v>0</v>
      </c>
      <c r="AF76" s="37">
        <f>G76*(1-0.854059869628505)</f>
        <v>0</v>
      </c>
      <c r="AG76" s="32" t="s">
        <v>7</v>
      </c>
      <c r="AM76" s="37">
        <f>F76*AE76</f>
        <v>0</v>
      </c>
      <c r="AN76" s="37">
        <f>F76*AF76</f>
        <v>0</v>
      </c>
      <c r="AO76" s="38" t="s">
        <v>294</v>
      </c>
      <c r="AP76" s="38" t="s">
        <v>309</v>
      </c>
      <c r="AQ76" s="28" t="s">
        <v>318</v>
      </c>
      <c r="AS76" s="37">
        <f>AM76+AN76</f>
        <v>0</v>
      </c>
      <c r="AT76" s="37">
        <f>G76/(100-AU76)*100</f>
        <v>0</v>
      </c>
      <c r="AU76" s="37">
        <v>0</v>
      </c>
      <c r="AV76" s="37">
        <f>L76</f>
        <v>70.119</v>
      </c>
    </row>
    <row r="77" spans="1:48" ht="12.75">
      <c r="A77" s="5"/>
      <c r="B77" s="5"/>
      <c r="C77" s="61" t="s">
        <v>71</v>
      </c>
      <c r="D77" s="60" t="s">
        <v>375</v>
      </c>
      <c r="E77" s="5"/>
      <c r="F77" s="19"/>
      <c r="G77" s="19"/>
      <c r="H77" s="19"/>
      <c r="I77" s="19"/>
      <c r="J77" s="19"/>
      <c r="K77" s="19"/>
      <c r="L77" s="19"/>
      <c r="M77" s="32"/>
      <c r="P77" s="37"/>
      <c r="R77" s="37"/>
      <c r="S77" s="37"/>
      <c r="T77" s="37"/>
      <c r="U77" s="37"/>
      <c r="V77" s="37"/>
      <c r="W77" s="37"/>
      <c r="X77" s="37"/>
      <c r="Y77" s="28"/>
      <c r="Z77" s="19"/>
      <c r="AA77" s="19"/>
      <c r="AB77" s="19"/>
      <c r="AD77" s="37"/>
      <c r="AE77" s="37"/>
      <c r="AF77" s="37"/>
      <c r="AG77" s="32"/>
      <c r="AM77" s="37"/>
      <c r="AN77" s="37"/>
      <c r="AO77" s="38"/>
      <c r="AP77" s="38"/>
      <c r="AQ77" s="28"/>
      <c r="AS77" s="37"/>
      <c r="AT77" s="37"/>
      <c r="AU77" s="37"/>
      <c r="AV77" s="37"/>
    </row>
    <row r="78" spans="1:37" ht="12.75">
      <c r="A78" s="4"/>
      <c r="B78" s="14" t="s">
        <v>74</v>
      </c>
      <c r="C78" s="14" t="s">
        <v>63</v>
      </c>
      <c r="D78" s="111" t="s">
        <v>208</v>
      </c>
      <c r="E78" s="112"/>
      <c r="F78" s="112"/>
      <c r="G78" s="112"/>
      <c r="H78" s="40">
        <f>SUM(H79:H79)</f>
        <v>0</v>
      </c>
      <c r="I78" s="40">
        <f>SUM(I79:I79)</f>
        <v>0</v>
      </c>
      <c r="J78" s="40">
        <f>H78+I78</f>
        <v>0</v>
      </c>
      <c r="K78" s="28"/>
      <c r="L78" s="40">
        <f>SUM(L79:L79)</f>
        <v>12.4869</v>
      </c>
      <c r="M78" s="28"/>
      <c r="Y78" s="28" t="s">
        <v>74</v>
      </c>
      <c r="AI78" s="40">
        <f>SUM(Z79:Z79)</f>
        <v>0</v>
      </c>
      <c r="AJ78" s="40">
        <f>SUM(AA79:AA79)</f>
        <v>0</v>
      </c>
      <c r="AK78" s="40">
        <f>SUM(AB79:AB79)</f>
        <v>0</v>
      </c>
    </row>
    <row r="79" spans="1:48" ht="12.75">
      <c r="A79" s="5" t="s">
        <v>40</v>
      </c>
      <c r="B79" s="5" t="s">
        <v>74</v>
      </c>
      <c r="C79" s="5" t="s">
        <v>114</v>
      </c>
      <c r="D79" s="5" t="s">
        <v>209</v>
      </c>
      <c r="E79" s="5" t="s">
        <v>251</v>
      </c>
      <c r="F79" s="19">
        <v>53.5</v>
      </c>
      <c r="G79" s="19">
        <v>0</v>
      </c>
      <c r="H79" s="19">
        <f>F79*AE79</f>
        <v>0</v>
      </c>
      <c r="I79" s="19">
        <f>J79-H79</f>
        <v>0</v>
      </c>
      <c r="J79" s="19">
        <f>F79*G79</f>
        <v>0</v>
      </c>
      <c r="K79" s="19">
        <v>0.2334</v>
      </c>
      <c r="L79" s="19">
        <f>F79*K79</f>
        <v>12.4869</v>
      </c>
      <c r="M79" s="32"/>
      <c r="P79" s="37">
        <f>IF(AG79="5",J79,0)</f>
        <v>0</v>
      </c>
      <c r="R79" s="37">
        <f>IF(AG79="1",H79,0)</f>
        <v>0</v>
      </c>
      <c r="S79" s="37">
        <f>IF(AG79="1",I79,0)</f>
        <v>0</v>
      </c>
      <c r="T79" s="37">
        <f>IF(AG79="7",H79,0)</f>
        <v>0</v>
      </c>
      <c r="U79" s="37">
        <f>IF(AG79="7",I79,0)</f>
        <v>0</v>
      </c>
      <c r="V79" s="37">
        <f>IF(AG79="2",H79,0)</f>
        <v>0</v>
      </c>
      <c r="W79" s="37">
        <f>IF(AG79="2",I79,0)</f>
        <v>0</v>
      </c>
      <c r="X79" s="37">
        <f>IF(AG79="0",J79,0)</f>
        <v>0</v>
      </c>
      <c r="Y79" s="28" t="s">
        <v>74</v>
      </c>
      <c r="Z79" s="19">
        <f>IF(AD79=0,J79,0)</f>
        <v>0</v>
      </c>
      <c r="AA79" s="19">
        <f>IF(AD79=15,J79,0)</f>
        <v>0</v>
      </c>
      <c r="AB79" s="19">
        <f>IF(AD79=21,J79,0)</f>
        <v>0</v>
      </c>
      <c r="AD79" s="37">
        <v>21</v>
      </c>
      <c r="AE79" s="37">
        <f>G79*0.445650793650794</f>
        <v>0</v>
      </c>
      <c r="AF79" s="37">
        <f>G79*(1-0.445650793650794)</f>
        <v>0</v>
      </c>
      <c r="AG79" s="32" t="s">
        <v>7</v>
      </c>
      <c r="AM79" s="37">
        <f>F79*AE79</f>
        <v>0</v>
      </c>
      <c r="AN79" s="37">
        <f>F79*AF79</f>
        <v>0</v>
      </c>
      <c r="AO79" s="38" t="s">
        <v>295</v>
      </c>
      <c r="AP79" s="38" t="s">
        <v>309</v>
      </c>
      <c r="AQ79" s="28" t="s">
        <v>318</v>
      </c>
      <c r="AS79" s="37">
        <f>AM79+AN79</f>
        <v>0</v>
      </c>
      <c r="AT79" s="37">
        <f>G79/(100-AU79)*100</f>
        <v>0</v>
      </c>
      <c r="AU79" s="37">
        <v>0</v>
      </c>
      <c r="AV79" s="37">
        <f>L79</f>
        <v>12.4869</v>
      </c>
    </row>
    <row r="80" spans="1:48" ht="12.75">
      <c r="A80" s="5"/>
      <c r="B80" s="5"/>
      <c r="C80" s="61" t="s">
        <v>71</v>
      </c>
      <c r="D80" s="60" t="s">
        <v>376</v>
      </c>
      <c r="E80" s="5"/>
      <c r="F80" s="19"/>
      <c r="G80" s="19"/>
      <c r="H80" s="19"/>
      <c r="I80" s="19"/>
      <c r="J80" s="19"/>
      <c r="K80" s="19"/>
      <c r="L80" s="19"/>
      <c r="M80" s="32"/>
      <c r="P80" s="37"/>
      <c r="R80" s="37"/>
      <c r="S80" s="37"/>
      <c r="T80" s="37"/>
      <c r="U80" s="37"/>
      <c r="V80" s="37"/>
      <c r="W80" s="37"/>
      <c r="X80" s="37"/>
      <c r="Y80" s="28"/>
      <c r="Z80" s="19"/>
      <c r="AA80" s="19"/>
      <c r="AB80" s="19"/>
      <c r="AD80" s="37"/>
      <c r="AE80" s="37"/>
      <c r="AF80" s="37"/>
      <c r="AG80" s="32"/>
      <c r="AM80" s="37"/>
      <c r="AN80" s="37"/>
      <c r="AO80" s="38"/>
      <c r="AP80" s="38"/>
      <c r="AQ80" s="28"/>
      <c r="AS80" s="37"/>
      <c r="AT80" s="37"/>
      <c r="AU80" s="37"/>
      <c r="AV80" s="37"/>
    </row>
    <row r="81" spans="1:37" ht="12.75">
      <c r="A81" s="4"/>
      <c r="B81" s="14" t="s">
        <v>74</v>
      </c>
      <c r="C81" s="14" t="s">
        <v>65</v>
      </c>
      <c r="D81" s="111" t="s">
        <v>210</v>
      </c>
      <c r="E81" s="112"/>
      <c r="F81" s="112"/>
      <c r="G81" s="112"/>
      <c r="H81" s="40">
        <f>SUM(H82:H88)</f>
        <v>0</v>
      </c>
      <c r="I81" s="40">
        <f>SUM(I82:I88)</f>
        <v>0</v>
      </c>
      <c r="J81" s="40">
        <f>H81+I81</f>
        <v>0</v>
      </c>
      <c r="K81" s="28"/>
      <c r="L81" s="40">
        <f>SUM(L82:L88)</f>
        <v>19.42044</v>
      </c>
      <c r="M81" s="28"/>
      <c r="Y81" s="28" t="s">
        <v>74</v>
      </c>
      <c r="AI81" s="40">
        <f>SUM(Z82:Z88)</f>
        <v>0</v>
      </c>
      <c r="AJ81" s="40">
        <f>SUM(AA82:AA88)</f>
        <v>0</v>
      </c>
      <c r="AK81" s="40">
        <f>SUM(AB82:AB88)</f>
        <v>0</v>
      </c>
    </row>
    <row r="82" spans="1:48" ht="12.75">
      <c r="A82" s="5" t="s">
        <v>41</v>
      </c>
      <c r="B82" s="5" t="s">
        <v>74</v>
      </c>
      <c r="C82" s="5" t="s">
        <v>115</v>
      </c>
      <c r="D82" s="5" t="s">
        <v>211</v>
      </c>
      <c r="E82" s="5" t="s">
        <v>254</v>
      </c>
      <c r="F82" s="19">
        <v>1</v>
      </c>
      <c r="G82" s="19">
        <v>0</v>
      </c>
      <c r="H82" s="19">
        <f>F82*AE82</f>
        <v>0</v>
      </c>
      <c r="I82" s="19">
        <f>J82-H82</f>
        <v>0</v>
      </c>
      <c r="J82" s="19">
        <f>F82*G82</f>
        <v>0</v>
      </c>
      <c r="K82" s="19">
        <v>0.14364</v>
      </c>
      <c r="L82" s="19">
        <f>F82*K82</f>
        <v>0.14364</v>
      </c>
      <c r="M82" s="32"/>
      <c r="P82" s="37">
        <f>IF(AG82="5",J82,0)</f>
        <v>0</v>
      </c>
      <c r="R82" s="37">
        <f>IF(AG82="1",H82,0)</f>
        <v>0</v>
      </c>
      <c r="S82" s="37">
        <f>IF(AG82="1",I82,0)</f>
        <v>0</v>
      </c>
      <c r="T82" s="37">
        <f>IF(AG82="7",H82,0)</f>
        <v>0</v>
      </c>
      <c r="U82" s="37">
        <f>IF(AG82="7",I82,0)</f>
        <v>0</v>
      </c>
      <c r="V82" s="37">
        <f>IF(AG82="2",H82,0)</f>
        <v>0</v>
      </c>
      <c r="W82" s="37">
        <f>IF(AG82="2",I82,0)</f>
        <v>0</v>
      </c>
      <c r="X82" s="37">
        <f>IF(AG82="0",J82,0)</f>
        <v>0</v>
      </c>
      <c r="Y82" s="28" t="s">
        <v>74</v>
      </c>
      <c r="Z82" s="19">
        <f>IF(AD82=0,J82,0)</f>
        <v>0</v>
      </c>
      <c r="AA82" s="19">
        <f>IF(AD82=15,J82,0)</f>
        <v>0</v>
      </c>
      <c r="AB82" s="19">
        <f>IF(AD82=21,J82,0)</f>
        <v>0</v>
      </c>
      <c r="AD82" s="37">
        <v>21</v>
      </c>
      <c r="AE82" s="37">
        <f>G82*0.422475294117647</f>
        <v>0</v>
      </c>
      <c r="AF82" s="37">
        <f>G82*(1-0.422475294117647)</f>
        <v>0</v>
      </c>
      <c r="AG82" s="32" t="s">
        <v>7</v>
      </c>
      <c r="AM82" s="37">
        <f>F82*AE82</f>
        <v>0</v>
      </c>
      <c r="AN82" s="37">
        <f>F82*AF82</f>
        <v>0</v>
      </c>
      <c r="AO82" s="38" t="s">
        <v>296</v>
      </c>
      <c r="AP82" s="38" t="s">
        <v>309</v>
      </c>
      <c r="AQ82" s="28" t="s">
        <v>318</v>
      </c>
      <c r="AS82" s="37">
        <f>AM82+AN82</f>
        <v>0</v>
      </c>
      <c r="AT82" s="37">
        <f>G82/(100-AU82)*100</f>
        <v>0</v>
      </c>
      <c r="AU82" s="37">
        <v>0</v>
      </c>
      <c r="AV82" s="37">
        <f>L82</f>
        <v>0.14364</v>
      </c>
    </row>
    <row r="83" spans="1:48" ht="12.75">
      <c r="A83" s="5"/>
      <c r="B83" s="5"/>
      <c r="C83" s="61" t="s">
        <v>71</v>
      </c>
      <c r="D83" s="60" t="s">
        <v>378</v>
      </c>
      <c r="E83" s="5"/>
      <c r="F83" s="19"/>
      <c r="G83" s="19"/>
      <c r="H83" s="19"/>
      <c r="I83" s="19"/>
      <c r="J83" s="19"/>
      <c r="K83" s="19"/>
      <c r="L83" s="19"/>
      <c r="M83" s="32"/>
      <c r="P83" s="37"/>
      <c r="R83" s="37"/>
      <c r="S83" s="37"/>
      <c r="T83" s="37"/>
      <c r="U83" s="37"/>
      <c r="V83" s="37"/>
      <c r="W83" s="37"/>
      <c r="X83" s="37"/>
      <c r="Y83" s="28"/>
      <c r="Z83" s="19"/>
      <c r="AA83" s="19"/>
      <c r="AB83" s="19"/>
      <c r="AD83" s="37"/>
      <c r="AE83" s="37"/>
      <c r="AF83" s="37"/>
      <c r="AG83" s="32"/>
      <c r="AM83" s="37"/>
      <c r="AN83" s="37"/>
      <c r="AO83" s="38"/>
      <c r="AP83" s="38"/>
      <c r="AQ83" s="28"/>
      <c r="AS83" s="37"/>
      <c r="AT83" s="37"/>
      <c r="AU83" s="37"/>
      <c r="AV83" s="37"/>
    </row>
    <row r="84" spans="1:48" ht="12.75">
      <c r="A84" s="5" t="s">
        <v>42</v>
      </c>
      <c r="B84" s="5" t="s">
        <v>74</v>
      </c>
      <c r="C84" s="5" t="s">
        <v>116</v>
      </c>
      <c r="D84" s="5" t="s">
        <v>212</v>
      </c>
      <c r="E84" s="5" t="s">
        <v>251</v>
      </c>
      <c r="F84" s="19">
        <v>55</v>
      </c>
      <c r="G84" s="19">
        <v>0</v>
      </c>
      <c r="H84" s="19">
        <f>F84*AE84</f>
        <v>0</v>
      </c>
      <c r="I84" s="19">
        <f>J84-H84</f>
        <v>0</v>
      </c>
      <c r="J84" s="19">
        <f>F84*G84</f>
        <v>0</v>
      </c>
      <c r="K84" s="19">
        <v>0.0739</v>
      </c>
      <c r="L84" s="19">
        <f>F84*K84</f>
        <v>4.0645</v>
      </c>
      <c r="M84" s="32"/>
      <c r="P84" s="37">
        <f>IF(AG84="5",J84,0)</f>
        <v>0</v>
      </c>
      <c r="R84" s="37">
        <f>IF(AG84="1",H84,0)</f>
        <v>0</v>
      </c>
      <c r="S84" s="37">
        <f>IF(AG84="1",I84,0)</f>
        <v>0</v>
      </c>
      <c r="T84" s="37">
        <f>IF(AG84="7",H84,0)</f>
        <v>0</v>
      </c>
      <c r="U84" s="37">
        <f>IF(AG84="7",I84,0)</f>
        <v>0</v>
      </c>
      <c r="V84" s="37">
        <f>IF(AG84="2",H84,0)</f>
        <v>0</v>
      </c>
      <c r="W84" s="37">
        <f>IF(AG84="2",I84,0)</f>
        <v>0</v>
      </c>
      <c r="X84" s="37">
        <f>IF(AG84="0",J84,0)</f>
        <v>0</v>
      </c>
      <c r="Y84" s="28" t="s">
        <v>74</v>
      </c>
      <c r="Z84" s="19">
        <f>IF(AD84=0,J84,0)</f>
        <v>0</v>
      </c>
      <c r="AA84" s="19">
        <f>IF(AD84=15,J84,0)</f>
        <v>0</v>
      </c>
      <c r="AB84" s="19">
        <f>IF(AD84=21,J84,0)</f>
        <v>0</v>
      </c>
      <c r="AD84" s="37">
        <v>21</v>
      </c>
      <c r="AE84" s="37">
        <f>G84*0.175293103448276</f>
        <v>0</v>
      </c>
      <c r="AF84" s="37">
        <f>G84*(1-0.175293103448276)</f>
        <v>0</v>
      </c>
      <c r="AG84" s="32" t="s">
        <v>7</v>
      </c>
      <c r="AM84" s="37">
        <f>F84*AE84</f>
        <v>0</v>
      </c>
      <c r="AN84" s="37">
        <f>F84*AF84</f>
        <v>0</v>
      </c>
      <c r="AO84" s="38" t="s">
        <v>296</v>
      </c>
      <c r="AP84" s="38" t="s">
        <v>309</v>
      </c>
      <c r="AQ84" s="28" t="s">
        <v>318</v>
      </c>
      <c r="AS84" s="37">
        <f>AM84+AN84</f>
        <v>0</v>
      </c>
      <c r="AT84" s="37">
        <f>G84/(100-AU84)*100</f>
        <v>0</v>
      </c>
      <c r="AU84" s="37">
        <v>0</v>
      </c>
      <c r="AV84" s="37">
        <f>L84</f>
        <v>4.0645</v>
      </c>
    </row>
    <row r="85" spans="1:48" ht="12.75">
      <c r="A85" s="5"/>
      <c r="B85" s="5"/>
      <c r="C85" s="61" t="s">
        <v>71</v>
      </c>
      <c r="D85" s="60" t="s">
        <v>377</v>
      </c>
      <c r="E85" s="5"/>
      <c r="F85" s="19"/>
      <c r="G85" s="19"/>
      <c r="H85" s="19"/>
      <c r="I85" s="19"/>
      <c r="J85" s="19"/>
      <c r="K85" s="19"/>
      <c r="L85" s="19"/>
      <c r="M85" s="32"/>
      <c r="P85" s="37"/>
      <c r="R85" s="37"/>
      <c r="S85" s="37"/>
      <c r="T85" s="37"/>
      <c r="U85" s="37"/>
      <c r="V85" s="37"/>
      <c r="W85" s="37"/>
      <c r="X85" s="37"/>
      <c r="Y85" s="28"/>
      <c r="Z85" s="19"/>
      <c r="AA85" s="19"/>
      <c r="AB85" s="19"/>
      <c r="AD85" s="37"/>
      <c r="AE85" s="37"/>
      <c r="AF85" s="37"/>
      <c r="AG85" s="32"/>
      <c r="AM85" s="37"/>
      <c r="AN85" s="37"/>
      <c r="AO85" s="38"/>
      <c r="AP85" s="38"/>
      <c r="AQ85" s="28"/>
      <c r="AS85" s="37"/>
      <c r="AT85" s="37"/>
      <c r="AU85" s="37"/>
      <c r="AV85" s="37"/>
    </row>
    <row r="86" spans="1:48" ht="12.75">
      <c r="A86" s="5" t="s">
        <v>43</v>
      </c>
      <c r="B86" s="5" t="s">
        <v>74</v>
      </c>
      <c r="C86" s="5" t="s">
        <v>117</v>
      </c>
      <c r="D86" s="5" t="s">
        <v>213</v>
      </c>
      <c r="E86" s="5" t="s">
        <v>251</v>
      </c>
      <c r="F86" s="19">
        <v>57</v>
      </c>
      <c r="G86" s="19">
        <v>0</v>
      </c>
      <c r="H86" s="19">
        <f>F86*AE86</f>
        <v>0</v>
      </c>
      <c r="I86" s="19">
        <f>J86-H86</f>
        <v>0</v>
      </c>
      <c r="J86" s="19">
        <f>F86*G86</f>
        <v>0</v>
      </c>
      <c r="K86" s="19">
        <v>0.0739</v>
      </c>
      <c r="L86" s="19">
        <f>F86*K86</f>
        <v>4.2123</v>
      </c>
      <c r="M86" s="32"/>
      <c r="P86" s="37">
        <f>IF(AG86="5",J86,0)</f>
        <v>0</v>
      </c>
      <c r="R86" s="37">
        <f>IF(AG86="1",H86,0)</f>
        <v>0</v>
      </c>
      <c r="S86" s="37">
        <f>IF(AG86="1",I86,0)</f>
        <v>0</v>
      </c>
      <c r="T86" s="37">
        <f>IF(AG86="7",H86,0)</f>
        <v>0</v>
      </c>
      <c r="U86" s="37">
        <f>IF(AG86="7",I86,0)</f>
        <v>0</v>
      </c>
      <c r="V86" s="37">
        <f>IF(AG86="2",H86,0)</f>
        <v>0</v>
      </c>
      <c r="W86" s="37">
        <f>IF(AG86="2",I86,0)</f>
        <v>0</v>
      </c>
      <c r="X86" s="37">
        <f>IF(AG86="0",J86,0)</f>
        <v>0</v>
      </c>
      <c r="Y86" s="28" t="s">
        <v>74</v>
      </c>
      <c r="Z86" s="19">
        <f>IF(AD86=0,J86,0)</f>
        <v>0</v>
      </c>
      <c r="AA86" s="19">
        <f>IF(AD86=15,J86,0)</f>
        <v>0</v>
      </c>
      <c r="AB86" s="19">
        <f>IF(AD86=21,J86,0)</f>
        <v>0</v>
      </c>
      <c r="AD86" s="37">
        <v>21</v>
      </c>
      <c r="AE86" s="37">
        <f>G86*0.184217391304348</f>
        <v>0</v>
      </c>
      <c r="AF86" s="37">
        <f>G86*(1-0.184217391304348)</f>
        <v>0</v>
      </c>
      <c r="AG86" s="32" t="s">
        <v>7</v>
      </c>
      <c r="AM86" s="37">
        <f>F86*AE86</f>
        <v>0</v>
      </c>
      <c r="AN86" s="37">
        <f>F86*AF86</f>
        <v>0</v>
      </c>
      <c r="AO86" s="38" t="s">
        <v>296</v>
      </c>
      <c r="AP86" s="38" t="s">
        <v>309</v>
      </c>
      <c r="AQ86" s="28" t="s">
        <v>318</v>
      </c>
      <c r="AS86" s="37">
        <f>AM86+AN86</f>
        <v>0</v>
      </c>
      <c r="AT86" s="37">
        <f>G86/(100-AU86)*100</f>
        <v>0</v>
      </c>
      <c r="AU86" s="37">
        <v>0</v>
      </c>
      <c r="AV86" s="37">
        <f>L86</f>
        <v>4.2123</v>
      </c>
    </row>
    <row r="87" spans="1:48" ht="12.75">
      <c r="A87" s="5"/>
      <c r="B87" s="5"/>
      <c r="C87" s="61" t="s">
        <v>71</v>
      </c>
      <c r="D87" s="60" t="s">
        <v>377</v>
      </c>
      <c r="E87" s="5"/>
      <c r="F87" s="19"/>
      <c r="G87" s="19"/>
      <c r="H87" s="19"/>
      <c r="I87" s="19"/>
      <c r="J87" s="19"/>
      <c r="K87" s="19"/>
      <c r="L87" s="19"/>
      <c r="M87" s="32"/>
      <c r="P87" s="37"/>
      <c r="R87" s="37"/>
      <c r="S87" s="37"/>
      <c r="T87" s="37"/>
      <c r="U87" s="37"/>
      <c r="V87" s="37"/>
      <c r="W87" s="37"/>
      <c r="X87" s="37"/>
      <c r="Y87" s="28"/>
      <c r="Z87" s="19"/>
      <c r="AA87" s="19"/>
      <c r="AB87" s="19"/>
      <c r="AD87" s="37"/>
      <c r="AE87" s="37"/>
      <c r="AF87" s="37"/>
      <c r="AG87" s="32"/>
      <c r="AM87" s="37"/>
      <c r="AN87" s="37"/>
      <c r="AO87" s="38"/>
      <c r="AP87" s="38"/>
      <c r="AQ87" s="28"/>
      <c r="AS87" s="37"/>
      <c r="AT87" s="37"/>
      <c r="AU87" s="37"/>
      <c r="AV87" s="37"/>
    </row>
    <row r="88" spans="1:48" ht="12.75">
      <c r="A88" s="5" t="s">
        <v>44</v>
      </c>
      <c r="B88" s="5" t="s">
        <v>74</v>
      </c>
      <c r="C88" s="5" t="s">
        <v>118</v>
      </c>
      <c r="D88" s="5" t="s">
        <v>214</v>
      </c>
      <c r="E88" s="5" t="s">
        <v>251</v>
      </c>
      <c r="F88" s="19">
        <v>100</v>
      </c>
      <c r="G88" s="19">
        <v>0</v>
      </c>
      <c r="H88" s="19">
        <f>F88*AE88</f>
        <v>0</v>
      </c>
      <c r="I88" s="19">
        <f>J88-H88</f>
        <v>0</v>
      </c>
      <c r="J88" s="19">
        <f>F88*G88</f>
        <v>0</v>
      </c>
      <c r="K88" s="19">
        <v>0.11</v>
      </c>
      <c r="L88" s="19">
        <f>F88*K88</f>
        <v>11</v>
      </c>
      <c r="M88" s="32"/>
      <c r="P88" s="37">
        <f>IF(AG88="5",J88,0)</f>
        <v>0</v>
      </c>
      <c r="R88" s="37">
        <f>IF(AG88="1",H88,0)</f>
        <v>0</v>
      </c>
      <c r="S88" s="37">
        <f>IF(AG88="1",I88,0)</f>
        <v>0</v>
      </c>
      <c r="T88" s="37">
        <f>IF(AG88="7",H88,0)</f>
        <v>0</v>
      </c>
      <c r="U88" s="37">
        <f>IF(AG88="7",I88,0)</f>
        <v>0</v>
      </c>
      <c r="V88" s="37">
        <f>IF(AG88="2",H88,0)</f>
        <v>0</v>
      </c>
      <c r="W88" s="37">
        <f>IF(AG88="2",I88,0)</f>
        <v>0</v>
      </c>
      <c r="X88" s="37">
        <f>IF(AG88="0",J88,0)</f>
        <v>0</v>
      </c>
      <c r="Y88" s="28" t="s">
        <v>74</v>
      </c>
      <c r="Z88" s="19">
        <f>IF(AD88=0,J88,0)</f>
        <v>0</v>
      </c>
      <c r="AA88" s="19">
        <f>IF(AD88=15,J88,0)</f>
        <v>0</v>
      </c>
      <c r="AB88" s="19">
        <f>IF(AD88=21,J88,0)</f>
        <v>0</v>
      </c>
      <c r="AD88" s="37">
        <v>21</v>
      </c>
      <c r="AE88" s="37">
        <f>G88*0.119317647058824</f>
        <v>0</v>
      </c>
      <c r="AF88" s="37">
        <f>G88*(1-0.119317647058824)</f>
        <v>0</v>
      </c>
      <c r="AG88" s="32" t="s">
        <v>7</v>
      </c>
      <c r="AM88" s="37">
        <f>F88*AE88</f>
        <v>0</v>
      </c>
      <c r="AN88" s="37">
        <f>F88*AF88</f>
        <v>0</v>
      </c>
      <c r="AO88" s="38" t="s">
        <v>296</v>
      </c>
      <c r="AP88" s="38" t="s">
        <v>309</v>
      </c>
      <c r="AQ88" s="28" t="s">
        <v>318</v>
      </c>
      <c r="AS88" s="37">
        <f>AM88+AN88</f>
        <v>0</v>
      </c>
      <c r="AT88" s="37">
        <f>G88/(100-AU88)*100</f>
        <v>0</v>
      </c>
      <c r="AU88" s="37">
        <v>0</v>
      </c>
      <c r="AV88" s="37">
        <f>L88</f>
        <v>11</v>
      </c>
    </row>
    <row r="89" spans="1:48" ht="12.75">
      <c r="A89" s="5"/>
      <c r="B89" s="5"/>
      <c r="C89" s="61" t="s">
        <v>71</v>
      </c>
      <c r="D89" s="60" t="s">
        <v>379</v>
      </c>
      <c r="E89" s="5"/>
      <c r="F89" s="19"/>
      <c r="G89" s="19"/>
      <c r="H89" s="19"/>
      <c r="I89" s="19"/>
      <c r="J89" s="19"/>
      <c r="K89" s="19"/>
      <c r="L89" s="19"/>
      <c r="M89" s="32"/>
      <c r="P89" s="37"/>
      <c r="R89" s="37"/>
      <c r="S89" s="37"/>
      <c r="T89" s="37"/>
      <c r="U89" s="37"/>
      <c r="V89" s="37"/>
      <c r="W89" s="37"/>
      <c r="X89" s="37"/>
      <c r="Y89" s="28"/>
      <c r="Z89" s="19"/>
      <c r="AA89" s="19"/>
      <c r="AB89" s="19"/>
      <c r="AD89" s="37"/>
      <c r="AE89" s="37"/>
      <c r="AF89" s="37"/>
      <c r="AG89" s="32"/>
      <c r="AM89" s="37"/>
      <c r="AN89" s="37"/>
      <c r="AO89" s="38"/>
      <c r="AP89" s="38"/>
      <c r="AQ89" s="28"/>
      <c r="AS89" s="37"/>
      <c r="AT89" s="37"/>
      <c r="AU89" s="37"/>
      <c r="AV89" s="37"/>
    </row>
    <row r="90" spans="1:48" ht="12.75">
      <c r="A90" s="5"/>
      <c r="B90" s="5"/>
      <c r="C90" s="61"/>
      <c r="D90" s="60" t="s">
        <v>380</v>
      </c>
      <c r="E90" s="5"/>
      <c r="F90" s="19"/>
      <c r="G90" s="19"/>
      <c r="H90" s="19"/>
      <c r="I90" s="19"/>
      <c r="J90" s="19"/>
      <c r="K90" s="19"/>
      <c r="L90" s="19"/>
      <c r="M90" s="32"/>
      <c r="P90" s="37"/>
      <c r="R90" s="37"/>
      <c r="S90" s="37"/>
      <c r="T90" s="37"/>
      <c r="U90" s="37"/>
      <c r="V90" s="37"/>
      <c r="W90" s="37"/>
      <c r="X90" s="37"/>
      <c r="Y90" s="28"/>
      <c r="Z90" s="19"/>
      <c r="AA90" s="19"/>
      <c r="AB90" s="19"/>
      <c r="AD90" s="37"/>
      <c r="AE90" s="37"/>
      <c r="AF90" s="37"/>
      <c r="AG90" s="32"/>
      <c r="AM90" s="37"/>
      <c r="AN90" s="37"/>
      <c r="AO90" s="38"/>
      <c r="AP90" s="38"/>
      <c r="AQ90" s="28"/>
      <c r="AS90" s="37"/>
      <c r="AT90" s="37"/>
      <c r="AU90" s="37"/>
      <c r="AV90" s="37"/>
    </row>
    <row r="91" spans="1:37" ht="12.75">
      <c r="A91" s="4"/>
      <c r="B91" s="14" t="s">
        <v>74</v>
      </c>
      <c r="C91" s="14" t="s">
        <v>119</v>
      </c>
      <c r="D91" s="111" t="s">
        <v>215</v>
      </c>
      <c r="E91" s="112"/>
      <c r="F91" s="112"/>
      <c r="G91" s="112"/>
      <c r="H91" s="40">
        <f>SUM(H92:H92)</f>
        <v>0</v>
      </c>
      <c r="I91" s="40">
        <f>SUM(I92:I92)</f>
        <v>0</v>
      </c>
      <c r="J91" s="40">
        <f>H91+I91</f>
        <v>0</v>
      </c>
      <c r="K91" s="28"/>
      <c r="L91" s="40">
        <f>SUM(L92:L92)</f>
        <v>0.014280000000000001</v>
      </c>
      <c r="M91" s="28"/>
      <c r="Y91" s="28" t="s">
        <v>74</v>
      </c>
      <c r="AI91" s="40">
        <f>SUM(Z92:Z92)</f>
        <v>0</v>
      </c>
      <c r="AJ91" s="40">
        <f>SUM(AA92:AA92)</f>
        <v>0</v>
      </c>
      <c r="AK91" s="40">
        <f>SUM(AB92:AB92)</f>
        <v>0</v>
      </c>
    </row>
    <row r="92" spans="1:48" ht="12.75">
      <c r="A92" s="5" t="s">
        <v>45</v>
      </c>
      <c r="B92" s="5" t="s">
        <v>74</v>
      </c>
      <c r="C92" s="5" t="s">
        <v>120</v>
      </c>
      <c r="D92" s="5" t="s">
        <v>216</v>
      </c>
      <c r="E92" s="5" t="s">
        <v>251</v>
      </c>
      <c r="F92" s="19">
        <v>21</v>
      </c>
      <c r="G92" s="19">
        <v>0</v>
      </c>
      <c r="H92" s="19">
        <f>F92*AE92</f>
        <v>0</v>
      </c>
      <c r="I92" s="19">
        <f>J92-H92</f>
        <v>0</v>
      </c>
      <c r="J92" s="19">
        <f>F92*G92</f>
        <v>0</v>
      </c>
      <c r="K92" s="19">
        <v>0.00068</v>
      </c>
      <c r="L92" s="19">
        <f>F92*K92</f>
        <v>0.014280000000000001</v>
      </c>
      <c r="M92" s="32"/>
      <c r="P92" s="37">
        <f>IF(AG92="5",J92,0)</f>
        <v>0</v>
      </c>
      <c r="R92" s="37">
        <f>IF(AG92="1",H92,0)</f>
        <v>0</v>
      </c>
      <c r="S92" s="37">
        <f>IF(AG92="1",I92,0)</f>
        <v>0</v>
      </c>
      <c r="T92" s="37">
        <f>IF(AG92="7",H92,0)</f>
        <v>0</v>
      </c>
      <c r="U92" s="37">
        <f>IF(AG92="7",I92,0)</f>
        <v>0</v>
      </c>
      <c r="V92" s="37">
        <f>IF(AG92="2",H92,0)</f>
        <v>0</v>
      </c>
      <c r="W92" s="37">
        <f>IF(AG92="2",I92,0)</f>
        <v>0</v>
      </c>
      <c r="X92" s="37">
        <f>IF(AG92="0",J92,0)</f>
        <v>0</v>
      </c>
      <c r="Y92" s="28" t="s">
        <v>74</v>
      </c>
      <c r="Z92" s="19">
        <f>IF(AD92=0,J92,0)</f>
        <v>0</v>
      </c>
      <c r="AA92" s="19">
        <f>IF(AD92=15,J92,0)</f>
        <v>0</v>
      </c>
      <c r="AB92" s="19">
        <f>IF(AD92=21,J92,0)</f>
        <v>0</v>
      </c>
      <c r="AD92" s="37">
        <v>21</v>
      </c>
      <c r="AE92" s="37">
        <f>G92*0.497991803278689</f>
        <v>0</v>
      </c>
      <c r="AF92" s="37">
        <f>G92*(1-0.497991803278689)</f>
        <v>0</v>
      </c>
      <c r="AG92" s="32" t="s">
        <v>13</v>
      </c>
      <c r="AM92" s="37">
        <f>F92*AE92</f>
        <v>0</v>
      </c>
      <c r="AN92" s="37">
        <f>F92*AF92</f>
        <v>0</v>
      </c>
      <c r="AO92" s="38" t="s">
        <v>297</v>
      </c>
      <c r="AP92" s="38" t="s">
        <v>310</v>
      </c>
      <c r="AQ92" s="28" t="s">
        <v>318</v>
      </c>
      <c r="AS92" s="37">
        <f>AM92+AN92</f>
        <v>0</v>
      </c>
      <c r="AT92" s="37">
        <f>G92/(100-AU92)*100</f>
        <v>0</v>
      </c>
      <c r="AU92" s="37">
        <v>0</v>
      </c>
      <c r="AV92" s="37">
        <f>L92</f>
        <v>0.014280000000000001</v>
      </c>
    </row>
    <row r="93" spans="1:48" ht="12.75">
      <c r="A93" s="5"/>
      <c r="B93" s="5"/>
      <c r="C93" s="61" t="s">
        <v>71</v>
      </c>
      <c r="D93" s="60" t="s">
        <v>381</v>
      </c>
      <c r="E93" s="5"/>
      <c r="F93" s="19"/>
      <c r="G93" s="19"/>
      <c r="H93" s="19"/>
      <c r="I93" s="19"/>
      <c r="J93" s="19"/>
      <c r="K93" s="19"/>
      <c r="L93" s="19"/>
      <c r="M93" s="32"/>
      <c r="P93" s="37"/>
      <c r="R93" s="37"/>
      <c r="S93" s="37"/>
      <c r="T93" s="37"/>
      <c r="U93" s="37"/>
      <c r="V93" s="37"/>
      <c r="W93" s="37"/>
      <c r="X93" s="37"/>
      <c r="Y93" s="28"/>
      <c r="Z93" s="19"/>
      <c r="AA93" s="19"/>
      <c r="AB93" s="19"/>
      <c r="AD93" s="37"/>
      <c r="AE93" s="37"/>
      <c r="AF93" s="37"/>
      <c r="AG93" s="32"/>
      <c r="AM93" s="37"/>
      <c r="AN93" s="37"/>
      <c r="AO93" s="38"/>
      <c r="AP93" s="38"/>
      <c r="AQ93" s="28"/>
      <c r="AS93" s="37"/>
      <c r="AT93" s="37"/>
      <c r="AU93" s="37"/>
      <c r="AV93" s="37"/>
    </row>
    <row r="94" spans="1:37" ht="12.75">
      <c r="A94" s="4"/>
      <c r="B94" s="14" t="s">
        <v>74</v>
      </c>
      <c r="C94" s="14" t="s">
        <v>83</v>
      </c>
      <c r="D94" s="111" t="s">
        <v>169</v>
      </c>
      <c r="E94" s="112"/>
      <c r="F94" s="112"/>
      <c r="G94" s="112"/>
      <c r="H94" s="40">
        <f>SUM(H95:H97)</f>
        <v>0</v>
      </c>
      <c r="I94" s="40">
        <f>SUM(I95:I97)</f>
        <v>0</v>
      </c>
      <c r="J94" s="40">
        <f>H94+I94</f>
        <v>0</v>
      </c>
      <c r="K94" s="28"/>
      <c r="L94" s="40">
        <f>SUM(L95:L97)</f>
        <v>0</v>
      </c>
      <c r="M94" s="28"/>
      <c r="Y94" s="28" t="s">
        <v>74</v>
      </c>
      <c r="AI94" s="40">
        <f>SUM(Z95:Z97)</f>
        <v>0</v>
      </c>
      <c r="AJ94" s="40">
        <f>SUM(AA95:AA97)</f>
        <v>0</v>
      </c>
      <c r="AK94" s="40">
        <f>SUM(AB95:AB97)</f>
        <v>0</v>
      </c>
    </row>
    <row r="95" spans="1:48" ht="12.75">
      <c r="A95" s="5" t="s">
        <v>46</v>
      </c>
      <c r="B95" s="5" t="s">
        <v>74</v>
      </c>
      <c r="C95" s="5" t="s">
        <v>121</v>
      </c>
      <c r="D95" s="5" t="s">
        <v>217</v>
      </c>
      <c r="E95" s="5" t="s">
        <v>253</v>
      </c>
      <c r="F95" s="19">
        <v>10</v>
      </c>
      <c r="G95" s="19">
        <v>0</v>
      </c>
      <c r="H95" s="19">
        <f>F95*AE95</f>
        <v>0</v>
      </c>
      <c r="I95" s="19">
        <f>J95-H95</f>
        <v>0</v>
      </c>
      <c r="J95" s="19">
        <f>F95*G95</f>
        <v>0</v>
      </c>
      <c r="K95" s="19">
        <v>0</v>
      </c>
      <c r="L95" s="19">
        <f>F95*K95</f>
        <v>0</v>
      </c>
      <c r="M95" s="32"/>
      <c r="P95" s="37">
        <f>IF(AG95="5",J95,0)</f>
        <v>0</v>
      </c>
      <c r="R95" s="37">
        <f>IF(AG95="1",H95,0)</f>
        <v>0</v>
      </c>
      <c r="S95" s="37">
        <f>IF(AG95="1",I95,0)</f>
        <v>0</v>
      </c>
      <c r="T95" s="37">
        <f>IF(AG95="7",H95,0)</f>
        <v>0</v>
      </c>
      <c r="U95" s="37">
        <f>IF(AG95="7",I95,0)</f>
        <v>0</v>
      </c>
      <c r="V95" s="37">
        <f>IF(AG95="2",H95,0)</f>
        <v>0</v>
      </c>
      <c r="W95" s="37">
        <f>IF(AG95="2",I95,0)</f>
        <v>0</v>
      </c>
      <c r="X95" s="37">
        <f>IF(AG95="0",J95,0)</f>
        <v>0</v>
      </c>
      <c r="Y95" s="28" t="s">
        <v>74</v>
      </c>
      <c r="Z95" s="19">
        <f>IF(AD95=0,J95,0)</f>
        <v>0</v>
      </c>
      <c r="AA95" s="19">
        <f>IF(AD95=15,J95,0)</f>
        <v>0</v>
      </c>
      <c r="AB95" s="19">
        <f>IF(AD95=21,J95,0)</f>
        <v>0</v>
      </c>
      <c r="AD95" s="37">
        <v>21</v>
      </c>
      <c r="AE95" s="37">
        <f>G95*0</f>
        <v>0</v>
      </c>
      <c r="AF95" s="37">
        <f>G95*(1-0)</f>
        <v>0</v>
      </c>
      <c r="AG95" s="32" t="s">
        <v>7</v>
      </c>
      <c r="AM95" s="37">
        <f>F95*AE95</f>
        <v>0</v>
      </c>
      <c r="AN95" s="37">
        <f>F95*AF95</f>
        <v>0</v>
      </c>
      <c r="AO95" s="38" t="s">
        <v>287</v>
      </c>
      <c r="AP95" s="38" t="s">
        <v>311</v>
      </c>
      <c r="AQ95" s="28" t="s">
        <v>318</v>
      </c>
      <c r="AS95" s="37">
        <f>AM95+AN95</f>
        <v>0</v>
      </c>
      <c r="AT95" s="37">
        <f>G95/(100-AU95)*100</f>
        <v>0</v>
      </c>
      <c r="AU95" s="37">
        <v>0</v>
      </c>
      <c r="AV95" s="37">
        <f>L95</f>
        <v>0</v>
      </c>
    </row>
    <row r="96" spans="1:48" ht="12.75">
      <c r="A96" s="5"/>
      <c r="B96" s="5"/>
      <c r="C96" s="61" t="s">
        <v>71</v>
      </c>
      <c r="D96" s="60" t="s">
        <v>382</v>
      </c>
      <c r="E96" s="5"/>
      <c r="F96" s="19"/>
      <c r="G96" s="19"/>
      <c r="H96" s="19"/>
      <c r="I96" s="19"/>
      <c r="J96" s="19"/>
      <c r="K96" s="19"/>
      <c r="L96" s="19"/>
      <c r="M96" s="32"/>
      <c r="P96" s="37"/>
      <c r="R96" s="37"/>
      <c r="S96" s="37"/>
      <c r="T96" s="37"/>
      <c r="U96" s="37"/>
      <c r="V96" s="37"/>
      <c r="W96" s="37"/>
      <c r="X96" s="37"/>
      <c r="Y96" s="28"/>
      <c r="Z96" s="19"/>
      <c r="AA96" s="19"/>
      <c r="AB96" s="19"/>
      <c r="AD96" s="37"/>
      <c r="AE96" s="37"/>
      <c r="AF96" s="37"/>
      <c r="AG96" s="32"/>
      <c r="AM96" s="37"/>
      <c r="AN96" s="37"/>
      <c r="AO96" s="38"/>
      <c r="AP96" s="38"/>
      <c r="AQ96" s="28"/>
      <c r="AS96" s="37"/>
      <c r="AT96" s="37"/>
      <c r="AU96" s="37"/>
      <c r="AV96" s="37"/>
    </row>
    <row r="97" spans="1:48" ht="12.75">
      <c r="A97" s="5" t="s">
        <v>47</v>
      </c>
      <c r="B97" s="5" t="s">
        <v>74</v>
      </c>
      <c r="C97" s="5" t="s">
        <v>85</v>
      </c>
      <c r="D97" s="5" t="s">
        <v>171</v>
      </c>
      <c r="E97" s="5" t="s">
        <v>253</v>
      </c>
      <c r="F97" s="19">
        <v>12</v>
      </c>
      <c r="G97" s="19">
        <v>0</v>
      </c>
      <c r="H97" s="19">
        <f>F97*AE97</f>
        <v>0</v>
      </c>
      <c r="I97" s="19">
        <f>J97-H97</f>
        <v>0</v>
      </c>
      <c r="J97" s="19">
        <f>F97*G97</f>
        <v>0</v>
      </c>
      <c r="K97" s="19">
        <v>0</v>
      </c>
      <c r="L97" s="19">
        <f>F97*K97</f>
        <v>0</v>
      </c>
      <c r="M97" s="32"/>
      <c r="P97" s="37">
        <f>IF(AG97="5",J97,0)</f>
        <v>0</v>
      </c>
      <c r="R97" s="37">
        <f>IF(AG97="1",H97,0)</f>
        <v>0</v>
      </c>
      <c r="S97" s="37">
        <f>IF(AG97="1",I97,0)</f>
        <v>0</v>
      </c>
      <c r="T97" s="37">
        <f>IF(AG97="7",H97,0)</f>
        <v>0</v>
      </c>
      <c r="U97" s="37">
        <f>IF(AG97="7",I97,0)</f>
        <v>0</v>
      </c>
      <c r="V97" s="37">
        <f>IF(AG97="2",H97,0)</f>
        <v>0</v>
      </c>
      <c r="W97" s="37">
        <f>IF(AG97="2",I97,0)</f>
        <v>0</v>
      </c>
      <c r="X97" s="37">
        <f>IF(AG97="0",J97,0)</f>
        <v>0</v>
      </c>
      <c r="Y97" s="28" t="s">
        <v>74</v>
      </c>
      <c r="Z97" s="19">
        <f>IF(AD97=0,J97,0)</f>
        <v>0</v>
      </c>
      <c r="AA97" s="19">
        <f>IF(AD97=15,J97,0)</f>
        <v>0</v>
      </c>
      <c r="AB97" s="19">
        <f>IF(AD97=21,J97,0)</f>
        <v>0</v>
      </c>
      <c r="AD97" s="37">
        <v>21</v>
      </c>
      <c r="AE97" s="37">
        <f>G97*0.00551219512195122</f>
        <v>0</v>
      </c>
      <c r="AF97" s="37">
        <f>G97*(1-0.00551219512195122)</f>
        <v>0</v>
      </c>
      <c r="AG97" s="32" t="s">
        <v>7</v>
      </c>
      <c r="AM97" s="37">
        <f>F97*AE97</f>
        <v>0</v>
      </c>
      <c r="AN97" s="37">
        <f>F97*AF97</f>
        <v>0</v>
      </c>
      <c r="AO97" s="38" t="s">
        <v>287</v>
      </c>
      <c r="AP97" s="38" t="s">
        <v>311</v>
      </c>
      <c r="AQ97" s="28" t="s">
        <v>318</v>
      </c>
      <c r="AS97" s="37">
        <f>AM97+AN97</f>
        <v>0</v>
      </c>
      <c r="AT97" s="37">
        <f>G97/(100-AU97)*100</f>
        <v>0</v>
      </c>
      <c r="AU97" s="37">
        <v>0</v>
      </c>
      <c r="AV97" s="37">
        <f>L97</f>
        <v>0</v>
      </c>
    </row>
    <row r="98" spans="1:48" ht="12.75">
      <c r="A98" s="5"/>
      <c r="B98" s="5"/>
      <c r="C98" s="61" t="s">
        <v>71</v>
      </c>
      <c r="D98" s="60" t="s">
        <v>383</v>
      </c>
      <c r="E98" s="5"/>
      <c r="F98" s="19"/>
      <c r="G98" s="19"/>
      <c r="H98" s="19"/>
      <c r="I98" s="19"/>
      <c r="J98" s="19"/>
      <c r="K98" s="19"/>
      <c r="L98" s="19"/>
      <c r="M98" s="32"/>
      <c r="P98" s="37"/>
      <c r="R98" s="37"/>
      <c r="S98" s="37"/>
      <c r="T98" s="37"/>
      <c r="U98" s="37"/>
      <c r="V98" s="37"/>
      <c r="W98" s="37"/>
      <c r="X98" s="37"/>
      <c r="Y98" s="28"/>
      <c r="Z98" s="19"/>
      <c r="AA98" s="19"/>
      <c r="AB98" s="19"/>
      <c r="AD98" s="37"/>
      <c r="AE98" s="37"/>
      <c r="AF98" s="37"/>
      <c r="AG98" s="32"/>
      <c r="AM98" s="37"/>
      <c r="AN98" s="37"/>
      <c r="AO98" s="38"/>
      <c r="AP98" s="38"/>
      <c r="AQ98" s="28"/>
      <c r="AS98" s="37"/>
      <c r="AT98" s="37"/>
      <c r="AU98" s="37"/>
      <c r="AV98" s="37"/>
    </row>
    <row r="99" spans="1:37" ht="12.75">
      <c r="A99" s="4"/>
      <c r="B99" s="14" t="s">
        <v>74</v>
      </c>
      <c r="C99" s="14" t="s">
        <v>122</v>
      </c>
      <c r="D99" s="111" t="s">
        <v>218</v>
      </c>
      <c r="E99" s="112"/>
      <c r="F99" s="112"/>
      <c r="G99" s="112"/>
      <c r="H99" s="40">
        <f>SUM(H100:H100)</f>
        <v>0</v>
      </c>
      <c r="I99" s="40">
        <f>SUM(I100:I100)</f>
        <v>0</v>
      </c>
      <c r="J99" s="40">
        <f>H99+I99</f>
        <v>0</v>
      </c>
      <c r="K99" s="28"/>
      <c r="L99" s="40">
        <f>SUM(L100:L100)</f>
        <v>0</v>
      </c>
      <c r="M99" s="28"/>
      <c r="Y99" s="28" t="s">
        <v>74</v>
      </c>
      <c r="AI99" s="40">
        <f>SUM(Z100:Z100)</f>
        <v>0</v>
      </c>
      <c r="AJ99" s="40">
        <f>SUM(AA100:AA100)</f>
        <v>0</v>
      </c>
      <c r="AK99" s="40">
        <f>SUM(AB100:AB100)</f>
        <v>0</v>
      </c>
    </row>
    <row r="100" spans="1:48" ht="12.75">
      <c r="A100" s="5" t="s">
        <v>48</v>
      </c>
      <c r="B100" s="5" t="s">
        <v>74</v>
      </c>
      <c r="C100" s="5" t="s">
        <v>123</v>
      </c>
      <c r="D100" s="5" t="s">
        <v>219</v>
      </c>
      <c r="E100" s="5" t="s">
        <v>257</v>
      </c>
      <c r="F100" s="19">
        <v>50</v>
      </c>
      <c r="G100" s="19">
        <v>0</v>
      </c>
      <c r="H100" s="19">
        <f>F100*AE100</f>
        <v>0</v>
      </c>
      <c r="I100" s="19">
        <f>J100-H100</f>
        <v>0</v>
      </c>
      <c r="J100" s="19">
        <f>F100*G100</f>
        <v>0</v>
      </c>
      <c r="K100" s="19">
        <v>0</v>
      </c>
      <c r="L100" s="19">
        <f>F100*K100</f>
        <v>0</v>
      </c>
      <c r="M100" s="32"/>
      <c r="P100" s="37">
        <f>IF(AG100="5",J100,0)</f>
        <v>0</v>
      </c>
      <c r="R100" s="37">
        <f>IF(AG100="1",H100,0)</f>
        <v>0</v>
      </c>
      <c r="S100" s="37">
        <f>IF(AG100="1",I100,0)</f>
        <v>0</v>
      </c>
      <c r="T100" s="37">
        <f>IF(AG100="7",H100,0)</f>
        <v>0</v>
      </c>
      <c r="U100" s="37">
        <f>IF(AG100="7",I100,0)</f>
        <v>0</v>
      </c>
      <c r="V100" s="37">
        <f>IF(AG100="2",H100,0)</f>
        <v>0</v>
      </c>
      <c r="W100" s="37">
        <f>IF(AG100="2",I100,0)</f>
        <v>0</v>
      </c>
      <c r="X100" s="37">
        <f>IF(AG100="0",J100,0)</f>
        <v>0</v>
      </c>
      <c r="Y100" s="28" t="s">
        <v>74</v>
      </c>
      <c r="Z100" s="19">
        <f>IF(AD100=0,J100,0)</f>
        <v>0</v>
      </c>
      <c r="AA100" s="19">
        <f>IF(AD100=15,J100,0)</f>
        <v>0</v>
      </c>
      <c r="AB100" s="19">
        <f>IF(AD100=21,J100,0)</f>
        <v>0</v>
      </c>
      <c r="AD100" s="37">
        <v>21</v>
      </c>
      <c r="AE100" s="37">
        <f>G100*0</f>
        <v>0</v>
      </c>
      <c r="AF100" s="37">
        <f>G100*(1-0)</f>
        <v>0</v>
      </c>
      <c r="AG100" s="32" t="s">
        <v>7</v>
      </c>
      <c r="AM100" s="37">
        <f>F100*AE100</f>
        <v>0</v>
      </c>
      <c r="AN100" s="37">
        <f>F100*AF100</f>
        <v>0</v>
      </c>
      <c r="AO100" s="38" t="s">
        <v>298</v>
      </c>
      <c r="AP100" s="38" t="s">
        <v>312</v>
      </c>
      <c r="AQ100" s="28" t="s">
        <v>318</v>
      </c>
      <c r="AS100" s="37">
        <f>AM100+AN100</f>
        <v>0</v>
      </c>
      <c r="AT100" s="37">
        <f>G100/(100-AU100)*100</f>
        <v>0</v>
      </c>
      <c r="AU100" s="37">
        <v>0</v>
      </c>
      <c r="AV100" s="37">
        <f>L100</f>
        <v>0</v>
      </c>
    </row>
    <row r="101" spans="1:48" ht="12.75">
      <c r="A101" s="5"/>
      <c r="B101" s="5"/>
      <c r="C101" s="61" t="s">
        <v>71</v>
      </c>
      <c r="D101" s="60" t="s">
        <v>390</v>
      </c>
      <c r="E101" s="5"/>
      <c r="F101" s="19"/>
      <c r="G101" s="19"/>
      <c r="H101" s="19"/>
      <c r="I101" s="19"/>
      <c r="J101" s="19"/>
      <c r="K101" s="19"/>
      <c r="L101" s="19"/>
      <c r="M101" s="32"/>
      <c r="P101" s="37"/>
      <c r="R101" s="37"/>
      <c r="S101" s="37"/>
      <c r="T101" s="37"/>
      <c r="U101" s="37"/>
      <c r="V101" s="37"/>
      <c r="W101" s="37"/>
      <c r="X101" s="37"/>
      <c r="Y101" s="28"/>
      <c r="Z101" s="19"/>
      <c r="AA101" s="19"/>
      <c r="AB101" s="19"/>
      <c r="AD101" s="37"/>
      <c r="AE101" s="37"/>
      <c r="AF101" s="37"/>
      <c r="AG101" s="32"/>
      <c r="AM101" s="37"/>
      <c r="AN101" s="37"/>
      <c r="AO101" s="38"/>
      <c r="AP101" s="38"/>
      <c r="AQ101" s="28"/>
      <c r="AS101" s="37"/>
      <c r="AT101" s="37"/>
      <c r="AU101" s="37"/>
      <c r="AV101" s="37"/>
    </row>
    <row r="102" spans="1:37" ht="12.75">
      <c r="A102" s="4"/>
      <c r="B102" s="14" t="s">
        <v>74</v>
      </c>
      <c r="C102" s="14" t="s">
        <v>92</v>
      </c>
      <c r="D102" s="111" t="s">
        <v>178</v>
      </c>
      <c r="E102" s="112"/>
      <c r="F102" s="112"/>
      <c r="G102" s="112"/>
      <c r="H102" s="40">
        <f>SUM(H103:H105)</f>
        <v>0</v>
      </c>
      <c r="I102" s="40">
        <f>SUM(I103:I105)</f>
        <v>0</v>
      </c>
      <c r="J102" s="40">
        <f>H102+I102</f>
        <v>0</v>
      </c>
      <c r="K102" s="28"/>
      <c r="L102" s="40">
        <f>SUM(L103:L105)</f>
        <v>74.08663999999999</v>
      </c>
      <c r="M102" s="28"/>
      <c r="Y102" s="28" t="s">
        <v>74</v>
      </c>
      <c r="AI102" s="40">
        <f>SUM(Z103:Z105)</f>
        <v>0</v>
      </c>
      <c r="AJ102" s="40">
        <f>SUM(AA103:AA105)</f>
        <v>0</v>
      </c>
      <c r="AK102" s="40">
        <f>SUM(AB103:AB105)</f>
        <v>0</v>
      </c>
    </row>
    <row r="103" spans="1:48" ht="12.75">
      <c r="A103" s="5" t="s">
        <v>49</v>
      </c>
      <c r="B103" s="5" t="s">
        <v>74</v>
      </c>
      <c r="C103" s="5" t="s">
        <v>124</v>
      </c>
      <c r="D103" s="5" t="s">
        <v>220</v>
      </c>
      <c r="E103" s="5" t="s">
        <v>253</v>
      </c>
      <c r="F103" s="19">
        <v>262</v>
      </c>
      <c r="G103" s="19">
        <v>0</v>
      </c>
      <c r="H103" s="19">
        <f>F103*AE103</f>
        <v>0</v>
      </c>
      <c r="I103" s="19">
        <f>J103-H103</f>
        <v>0</v>
      </c>
      <c r="J103" s="19">
        <f>F103*G103</f>
        <v>0</v>
      </c>
      <c r="K103" s="19">
        <v>0.12472</v>
      </c>
      <c r="L103" s="19">
        <f>F103*K103</f>
        <v>32.67664</v>
      </c>
      <c r="M103" s="32"/>
      <c r="P103" s="37">
        <f>IF(AG103="5",J103,0)</f>
        <v>0</v>
      </c>
      <c r="R103" s="37">
        <f>IF(AG103="1",H103,0)</f>
        <v>0</v>
      </c>
      <c r="S103" s="37">
        <f>IF(AG103="1",I103,0)</f>
        <v>0</v>
      </c>
      <c r="T103" s="37">
        <f>IF(AG103="7",H103,0)</f>
        <v>0</v>
      </c>
      <c r="U103" s="37">
        <f>IF(AG103="7",I103,0)</f>
        <v>0</v>
      </c>
      <c r="V103" s="37">
        <f>IF(AG103="2",H103,0)</f>
        <v>0</v>
      </c>
      <c r="W103" s="37">
        <f>IF(AG103="2",I103,0)</f>
        <v>0</v>
      </c>
      <c r="X103" s="37">
        <f>IF(AG103="0",J103,0)</f>
        <v>0</v>
      </c>
      <c r="Y103" s="28" t="s">
        <v>74</v>
      </c>
      <c r="Z103" s="19">
        <f>IF(AD103=0,J103,0)</f>
        <v>0</v>
      </c>
      <c r="AA103" s="19">
        <f>IF(AD103=15,J103,0)</f>
        <v>0</v>
      </c>
      <c r="AB103" s="19">
        <f>IF(AD103=21,J103,0)</f>
        <v>0</v>
      </c>
      <c r="AD103" s="37">
        <v>21</v>
      </c>
      <c r="AE103" s="37">
        <f>G103*0.742307076955896</f>
        <v>0</v>
      </c>
      <c r="AF103" s="37">
        <f>G103*(1-0.742307076955896)</f>
        <v>0</v>
      </c>
      <c r="AG103" s="32" t="s">
        <v>7</v>
      </c>
      <c r="AM103" s="37">
        <f>F103*AE103</f>
        <v>0</v>
      </c>
      <c r="AN103" s="37">
        <f>F103*AF103</f>
        <v>0</v>
      </c>
      <c r="AO103" s="38" t="s">
        <v>289</v>
      </c>
      <c r="AP103" s="38" t="s">
        <v>312</v>
      </c>
      <c r="AQ103" s="28" t="s">
        <v>318</v>
      </c>
      <c r="AS103" s="37">
        <f>AM103+AN103</f>
        <v>0</v>
      </c>
      <c r="AT103" s="37">
        <f>G103/(100-AU103)*100</f>
        <v>0</v>
      </c>
      <c r="AU103" s="37">
        <v>0</v>
      </c>
      <c r="AV103" s="37">
        <f>L103</f>
        <v>32.67664</v>
      </c>
    </row>
    <row r="104" spans="1:48" ht="12.75">
      <c r="A104" s="5"/>
      <c r="B104" s="5"/>
      <c r="C104" s="61" t="s">
        <v>71</v>
      </c>
      <c r="D104" s="60" t="s">
        <v>384</v>
      </c>
      <c r="E104" s="5"/>
      <c r="F104" s="19"/>
      <c r="G104" s="19"/>
      <c r="H104" s="19"/>
      <c r="I104" s="19"/>
      <c r="J104" s="19"/>
      <c r="K104" s="19"/>
      <c r="L104" s="19"/>
      <c r="M104" s="32"/>
      <c r="P104" s="37"/>
      <c r="R104" s="37"/>
      <c r="S104" s="37"/>
      <c r="T104" s="37"/>
      <c r="U104" s="37"/>
      <c r="V104" s="37"/>
      <c r="W104" s="37"/>
      <c r="X104" s="37"/>
      <c r="Y104" s="28"/>
      <c r="Z104" s="19"/>
      <c r="AA104" s="19"/>
      <c r="AB104" s="19"/>
      <c r="AD104" s="37"/>
      <c r="AE104" s="37"/>
      <c r="AF104" s="37"/>
      <c r="AG104" s="32"/>
      <c r="AM104" s="37"/>
      <c r="AN104" s="37"/>
      <c r="AO104" s="38"/>
      <c r="AP104" s="38"/>
      <c r="AQ104" s="28"/>
      <c r="AS104" s="37"/>
      <c r="AT104" s="37"/>
      <c r="AU104" s="37"/>
      <c r="AV104" s="37"/>
    </row>
    <row r="105" spans="1:48" ht="12.75">
      <c r="A105" s="5" t="s">
        <v>50</v>
      </c>
      <c r="B105" s="5" t="s">
        <v>74</v>
      </c>
      <c r="C105" s="5" t="s">
        <v>125</v>
      </c>
      <c r="D105" s="5" t="s">
        <v>221</v>
      </c>
      <c r="E105" s="5" t="s">
        <v>252</v>
      </c>
      <c r="F105" s="19">
        <v>16.4</v>
      </c>
      <c r="G105" s="19">
        <v>0</v>
      </c>
      <c r="H105" s="19">
        <f>F105*AE105</f>
        <v>0</v>
      </c>
      <c r="I105" s="19">
        <f>J105-H105</f>
        <v>0</v>
      </c>
      <c r="J105" s="19">
        <f>F105*G105</f>
        <v>0</v>
      </c>
      <c r="K105" s="19">
        <v>2.525</v>
      </c>
      <c r="L105" s="19">
        <f>F105*K105</f>
        <v>41.41</v>
      </c>
      <c r="M105" s="32"/>
      <c r="P105" s="37">
        <f>IF(AG105="5",J105,0)</f>
        <v>0</v>
      </c>
      <c r="R105" s="37">
        <f>IF(AG105="1",H105,0)</f>
        <v>0</v>
      </c>
      <c r="S105" s="37">
        <f>IF(AG105="1",I105,0)</f>
        <v>0</v>
      </c>
      <c r="T105" s="37">
        <f>IF(AG105="7",H105,0)</f>
        <v>0</v>
      </c>
      <c r="U105" s="37">
        <f>IF(AG105="7",I105,0)</f>
        <v>0</v>
      </c>
      <c r="V105" s="37">
        <f>IF(AG105="2",H105,0)</f>
        <v>0</v>
      </c>
      <c r="W105" s="37">
        <f>IF(AG105="2",I105,0)</f>
        <v>0</v>
      </c>
      <c r="X105" s="37">
        <f>IF(AG105="0",J105,0)</f>
        <v>0</v>
      </c>
      <c r="Y105" s="28" t="s">
        <v>74</v>
      </c>
      <c r="Z105" s="19">
        <f>IF(AD105=0,J105,0)</f>
        <v>0</v>
      </c>
      <c r="AA105" s="19">
        <f>IF(AD105=15,J105,0)</f>
        <v>0</v>
      </c>
      <c r="AB105" s="19">
        <f>IF(AD105=21,J105,0)</f>
        <v>0</v>
      </c>
      <c r="AD105" s="37">
        <v>21</v>
      </c>
      <c r="AE105" s="37">
        <f>G105*0.814452114069921</f>
        <v>0</v>
      </c>
      <c r="AF105" s="37">
        <f>G105*(1-0.814452114069921)</f>
        <v>0</v>
      </c>
      <c r="AG105" s="32" t="s">
        <v>7</v>
      </c>
      <c r="AM105" s="37">
        <f>F105*AE105</f>
        <v>0</v>
      </c>
      <c r="AN105" s="37">
        <f>F105*AF105</f>
        <v>0</v>
      </c>
      <c r="AO105" s="38" t="s">
        <v>289</v>
      </c>
      <c r="AP105" s="38" t="s">
        <v>312</v>
      </c>
      <c r="AQ105" s="28" t="s">
        <v>318</v>
      </c>
      <c r="AS105" s="37">
        <f>AM105+AN105</f>
        <v>0</v>
      </c>
      <c r="AT105" s="37">
        <f>G105/(100-AU105)*100</f>
        <v>0</v>
      </c>
      <c r="AU105" s="37">
        <v>0</v>
      </c>
      <c r="AV105" s="37">
        <f>L105</f>
        <v>41.41</v>
      </c>
    </row>
    <row r="106" spans="1:48" ht="12.75">
      <c r="A106" s="5"/>
      <c r="B106" s="5"/>
      <c r="C106" s="61" t="s">
        <v>71</v>
      </c>
      <c r="D106" s="60" t="s">
        <v>385</v>
      </c>
      <c r="E106" s="5"/>
      <c r="F106" s="19"/>
      <c r="G106" s="19"/>
      <c r="H106" s="19"/>
      <c r="I106" s="19"/>
      <c r="J106" s="19"/>
      <c r="K106" s="19"/>
      <c r="L106" s="19"/>
      <c r="M106" s="32"/>
      <c r="P106" s="37"/>
      <c r="R106" s="37"/>
      <c r="S106" s="37"/>
      <c r="T106" s="37"/>
      <c r="U106" s="37"/>
      <c r="V106" s="37"/>
      <c r="W106" s="37"/>
      <c r="X106" s="37"/>
      <c r="Y106" s="28"/>
      <c r="Z106" s="19"/>
      <c r="AA106" s="19"/>
      <c r="AB106" s="19"/>
      <c r="AD106" s="37"/>
      <c r="AE106" s="37"/>
      <c r="AF106" s="37"/>
      <c r="AG106" s="32"/>
      <c r="AM106" s="37"/>
      <c r="AN106" s="37"/>
      <c r="AO106" s="38"/>
      <c r="AP106" s="38"/>
      <c r="AQ106" s="28"/>
      <c r="AS106" s="37"/>
      <c r="AT106" s="37"/>
      <c r="AU106" s="37"/>
      <c r="AV106" s="37"/>
    </row>
    <row r="107" spans="1:37" ht="12.75">
      <c r="A107" s="4"/>
      <c r="B107" s="14" t="s">
        <v>74</v>
      </c>
      <c r="C107" s="14" t="s">
        <v>126</v>
      </c>
      <c r="D107" s="111" t="s">
        <v>222</v>
      </c>
      <c r="E107" s="112"/>
      <c r="F107" s="112"/>
      <c r="G107" s="112"/>
      <c r="H107" s="40">
        <f>SUM(H108:H108)</f>
        <v>0</v>
      </c>
      <c r="I107" s="40">
        <f>SUM(I108:I108)</f>
        <v>0</v>
      </c>
      <c r="J107" s="40">
        <f>H107+I107</f>
        <v>0</v>
      </c>
      <c r="K107" s="28"/>
      <c r="L107" s="40">
        <f>SUM(L108:L108)</f>
        <v>0.56</v>
      </c>
      <c r="M107" s="28"/>
      <c r="Y107" s="28" t="s">
        <v>74</v>
      </c>
      <c r="AI107" s="40">
        <f>SUM(Z108:Z108)</f>
        <v>0</v>
      </c>
      <c r="AJ107" s="40">
        <f>SUM(AA108:AA108)</f>
        <v>0</v>
      </c>
      <c r="AK107" s="40">
        <f>SUM(AB108:AB108)</f>
        <v>0</v>
      </c>
    </row>
    <row r="108" spans="1:48" ht="12.75">
      <c r="A108" s="5" t="s">
        <v>51</v>
      </c>
      <c r="B108" s="5" t="s">
        <v>74</v>
      </c>
      <c r="C108" s="5" t="s">
        <v>127</v>
      </c>
      <c r="D108" s="5" t="s">
        <v>223</v>
      </c>
      <c r="E108" s="5" t="s">
        <v>253</v>
      </c>
      <c r="F108" s="19">
        <v>5</v>
      </c>
      <c r="G108" s="19">
        <v>0</v>
      </c>
      <c r="H108" s="19">
        <f>F108*AE108</f>
        <v>0</v>
      </c>
      <c r="I108" s="19">
        <f>J108-H108</f>
        <v>0</v>
      </c>
      <c r="J108" s="19">
        <f>F108*G108</f>
        <v>0</v>
      </c>
      <c r="K108" s="19">
        <v>0.112</v>
      </c>
      <c r="L108" s="19">
        <f>F108*K108</f>
        <v>0.56</v>
      </c>
      <c r="M108" s="32"/>
      <c r="P108" s="37">
        <f>IF(AG108="5",J108,0)</f>
        <v>0</v>
      </c>
      <c r="R108" s="37">
        <f>IF(AG108="1",H108,0)</f>
        <v>0</v>
      </c>
      <c r="S108" s="37">
        <f>IF(AG108="1",I108,0)</f>
        <v>0</v>
      </c>
      <c r="T108" s="37">
        <f>IF(AG108="7",H108,0)</f>
        <v>0</v>
      </c>
      <c r="U108" s="37">
        <f>IF(AG108="7",I108,0)</f>
        <v>0</v>
      </c>
      <c r="V108" s="37">
        <f>IF(AG108="2",H108,0)</f>
        <v>0</v>
      </c>
      <c r="W108" s="37">
        <f>IF(AG108="2",I108,0)</f>
        <v>0</v>
      </c>
      <c r="X108" s="37">
        <f>IF(AG108="0",J108,0)</f>
        <v>0</v>
      </c>
      <c r="Y108" s="28" t="s">
        <v>74</v>
      </c>
      <c r="Z108" s="19">
        <f>IF(AD108=0,J108,0)</f>
        <v>0</v>
      </c>
      <c r="AA108" s="19">
        <f>IF(AD108=15,J108,0)</f>
        <v>0</v>
      </c>
      <c r="AB108" s="19">
        <f>IF(AD108=21,J108,0)</f>
        <v>0</v>
      </c>
      <c r="AD108" s="37">
        <v>21</v>
      </c>
      <c r="AE108" s="37">
        <f>G108*0</f>
        <v>0</v>
      </c>
      <c r="AF108" s="37">
        <f>G108*(1-0)</f>
        <v>0</v>
      </c>
      <c r="AG108" s="32" t="s">
        <v>7</v>
      </c>
      <c r="AM108" s="37">
        <f>F108*AE108</f>
        <v>0</v>
      </c>
      <c r="AN108" s="37">
        <f>F108*AF108</f>
        <v>0</v>
      </c>
      <c r="AO108" s="38" t="s">
        <v>299</v>
      </c>
      <c r="AP108" s="38" t="s">
        <v>312</v>
      </c>
      <c r="AQ108" s="28" t="s">
        <v>318</v>
      </c>
      <c r="AS108" s="37">
        <f>AM108+AN108</f>
        <v>0</v>
      </c>
      <c r="AT108" s="37">
        <f>G108/(100-AU108)*100</f>
        <v>0</v>
      </c>
      <c r="AU108" s="37">
        <v>0</v>
      </c>
      <c r="AV108" s="37">
        <f>L108</f>
        <v>0.56</v>
      </c>
    </row>
    <row r="109" spans="1:37" ht="12.75">
      <c r="A109" s="4"/>
      <c r="B109" s="14" t="s">
        <v>74</v>
      </c>
      <c r="C109" s="14" t="s">
        <v>128</v>
      </c>
      <c r="D109" s="111" t="s">
        <v>224</v>
      </c>
      <c r="E109" s="112"/>
      <c r="F109" s="112"/>
      <c r="G109" s="112"/>
      <c r="H109" s="40">
        <f>SUM(H110:H110)</f>
        <v>0</v>
      </c>
      <c r="I109" s="40">
        <f>SUM(I110:I110)</f>
        <v>0</v>
      </c>
      <c r="J109" s="40">
        <f>H109+I109</f>
        <v>0</v>
      </c>
      <c r="K109" s="28"/>
      <c r="L109" s="40">
        <f>SUM(L110:L110)</f>
        <v>0.26333</v>
      </c>
      <c r="M109" s="28"/>
      <c r="Y109" s="28" t="s">
        <v>74</v>
      </c>
      <c r="AI109" s="40">
        <f>SUM(Z110:Z110)</f>
        <v>0</v>
      </c>
      <c r="AJ109" s="40">
        <f>SUM(AA110:AA110)</f>
        <v>0</v>
      </c>
      <c r="AK109" s="40">
        <f>SUM(AB110:AB110)</f>
        <v>0</v>
      </c>
    </row>
    <row r="110" spans="1:48" ht="12.75">
      <c r="A110" s="5" t="s">
        <v>52</v>
      </c>
      <c r="B110" s="5" t="s">
        <v>74</v>
      </c>
      <c r="C110" s="5" t="s">
        <v>129</v>
      </c>
      <c r="D110" s="5" t="s">
        <v>225</v>
      </c>
      <c r="E110" s="5" t="s">
        <v>254</v>
      </c>
      <c r="F110" s="19">
        <v>1</v>
      </c>
      <c r="G110" s="19">
        <v>0</v>
      </c>
      <c r="H110" s="19">
        <f>F110*AE110</f>
        <v>0</v>
      </c>
      <c r="I110" s="19">
        <f>J110-H110</f>
        <v>0</v>
      </c>
      <c r="J110" s="19">
        <f>F110*G110</f>
        <v>0</v>
      </c>
      <c r="K110" s="19">
        <v>0.26333</v>
      </c>
      <c r="L110" s="19">
        <f>F110*K110</f>
        <v>0.26333</v>
      </c>
      <c r="M110" s="32"/>
      <c r="P110" s="37">
        <f>IF(AG110="5",J110,0)</f>
        <v>0</v>
      </c>
      <c r="R110" s="37">
        <f>IF(AG110="1",H110,0)</f>
        <v>0</v>
      </c>
      <c r="S110" s="37">
        <f>IF(AG110="1",I110,0)</f>
        <v>0</v>
      </c>
      <c r="T110" s="37">
        <f>IF(AG110="7",H110,0)</f>
        <v>0</v>
      </c>
      <c r="U110" s="37">
        <f>IF(AG110="7",I110,0)</f>
        <v>0</v>
      </c>
      <c r="V110" s="37">
        <f>IF(AG110="2",H110,0)</f>
        <v>0</v>
      </c>
      <c r="W110" s="37">
        <f>IF(AG110="2",I110,0)</f>
        <v>0</v>
      </c>
      <c r="X110" s="37">
        <f>IF(AG110="0",J110,0)</f>
        <v>0</v>
      </c>
      <c r="Y110" s="28" t="s">
        <v>74</v>
      </c>
      <c r="Z110" s="19">
        <f>IF(AD110=0,J110,0)</f>
        <v>0</v>
      </c>
      <c r="AA110" s="19">
        <f>IF(AD110=15,J110,0)</f>
        <v>0</v>
      </c>
      <c r="AB110" s="19">
        <f>IF(AD110=21,J110,0)</f>
        <v>0</v>
      </c>
      <c r="AD110" s="37">
        <v>21</v>
      </c>
      <c r="AE110" s="37">
        <f>G110*0.0519370078740157</f>
        <v>0</v>
      </c>
      <c r="AF110" s="37">
        <f>G110*(1-0.0519370078740157)</f>
        <v>0</v>
      </c>
      <c r="AG110" s="32" t="s">
        <v>7</v>
      </c>
      <c r="AM110" s="37">
        <f>F110*AE110</f>
        <v>0</v>
      </c>
      <c r="AN110" s="37">
        <f>F110*AF110</f>
        <v>0</v>
      </c>
      <c r="AO110" s="38" t="s">
        <v>300</v>
      </c>
      <c r="AP110" s="38" t="s">
        <v>312</v>
      </c>
      <c r="AQ110" s="28" t="s">
        <v>318</v>
      </c>
      <c r="AS110" s="37">
        <f>AM110+AN110</f>
        <v>0</v>
      </c>
      <c r="AT110" s="37">
        <f>G110/(100-AU110)*100</f>
        <v>0</v>
      </c>
      <c r="AU110" s="37">
        <v>0</v>
      </c>
      <c r="AV110" s="37">
        <f>L110</f>
        <v>0.26333</v>
      </c>
    </row>
    <row r="111" spans="1:48" ht="12.75">
      <c r="A111" s="5"/>
      <c r="B111" s="5"/>
      <c r="C111" s="61" t="s">
        <v>71</v>
      </c>
      <c r="D111" s="60" t="s">
        <v>386</v>
      </c>
      <c r="E111" s="5"/>
      <c r="F111" s="19"/>
      <c r="G111" s="19"/>
      <c r="H111" s="19"/>
      <c r="I111" s="19"/>
      <c r="J111" s="19"/>
      <c r="K111" s="19"/>
      <c r="L111" s="19"/>
      <c r="M111" s="32"/>
      <c r="P111" s="37"/>
      <c r="R111" s="37"/>
      <c r="S111" s="37"/>
      <c r="T111" s="37"/>
      <c r="U111" s="37"/>
      <c r="V111" s="37"/>
      <c r="W111" s="37"/>
      <c r="X111" s="37"/>
      <c r="Y111" s="28"/>
      <c r="Z111" s="19"/>
      <c r="AA111" s="19"/>
      <c r="AB111" s="19"/>
      <c r="AD111" s="37"/>
      <c r="AE111" s="37"/>
      <c r="AF111" s="37"/>
      <c r="AG111" s="32"/>
      <c r="AM111" s="37"/>
      <c r="AN111" s="37"/>
      <c r="AO111" s="38"/>
      <c r="AP111" s="38"/>
      <c r="AQ111" s="28"/>
      <c r="AS111" s="37"/>
      <c r="AT111" s="37"/>
      <c r="AU111" s="37"/>
      <c r="AV111" s="37"/>
    </row>
    <row r="112" spans="1:37" ht="12.75">
      <c r="A112" s="4"/>
      <c r="B112" s="14" t="s">
        <v>74</v>
      </c>
      <c r="C112" s="14" t="s">
        <v>130</v>
      </c>
      <c r="D112" s="111" t="s">
        <v>226</v>
      </c>
      <c r="E112" s="112"/>
      <c r="F112" s="112"/>
      <c r="G112" s="112"/>
      <c r="H112" s="40">
        <f>SUM(H113:H115)</f>
        <v>0</v>
      </c>
      <c r="I112" s="40">
        <f>SUM(I113:I115)</f>
        <v>0</v>
      </c>
      <c r="J112" s="40">
        <f>H112+I112</f>
        <v>0</v>
      </c>
      <c r="K112" s="28"/>
      <c r="L112" s="40">
        <f>SUM(L113:L115)</f>
        <v>0</v>
      </c>
      <c r="M112" s="28"/>
      <c r="Y112" s="28" t="s">
        <v>74</v>
      </c>
      <c r="AI112" s="40">
        <f>SUM(Z113:Z115)</f>
        <v>0</v>
      </c>
      <c r="AJ112" s="40">
        <f>SUM(AA113:AA115)</f>
        <v>0</v>
      </c>
      <c r="AK112" s="40">
        <f>SUM(AB113:AB115)</f>
        <v>0</v>
      </c>
    </row>
    <row r="113" spans="1:48" ht="12.75">
      <c r="A113" s="5" t="s">
        <v>53</v>
      </c>
      <c r="B113" s="5" t="s">
        <v>74</v>
      </c>
      <c r="C113" s="5" t="s">
        <v>131</v>
      </c>
      <c r="D113" s="5" t="s">
        <v>227</v>
      </c>
      <c r="E113" s="5" t="s">
        <v>256</v>
      </c>
      <c r="F113" s="19">
        <v>169.80686</v>
      </c>
      <c r="G113" s="19">
        <v>0</v>
      </c>
      <c r="H113" s="19">
        <f>F113*AE113</f>
        <v>0</v>
      </c>
      <c r="I113" s="19">
        <f>J113-H113</f>
        <v>0</v>
      </c>
      <c r="J113" s="19">
        <f>F113*G113</f>
        <v>0</v>
      </c>
      <c r="K113" s="19">
        <v>0</v>
      </c>
      <c r="L113" s="19">
        <f>F113*K113</f>
        <v>0</v>
      </c>
      <c r="M113" s="32"/>
      <c r="P113" s="37">
        <f>IF(AG113="5",J113,0)</f>
        <v>0</v>
      </c>
      <c r="R113" s="37">
        <f>IF(AG113="1",H113,0)</f>
        <v>0</v>
      </c>
      <c r="S113" s="37">
        <f>IF(AG113="1",I113,0)</f>
        <v>0</v>
      </c>
      <c r="T113" s="37">
        <f>IF(AG113="7",H113,0)</f>
        <v>0</v>
      </c>
      <c r="U113" s="37">
        <f>IF(AG113="7",I113,0)</f>
        <v>0</v>
      </c>
      <c r="V113" s="37">
        <f>IF(AG113="2",H113,0)</f>
        <v>0</v>
      </c>
      <c r="W113" s="37">
        <f>IF(AG113="2",I113,0)</f>
        <v>0</v>
      </c>
      <c r="X113" s="37">
        <f>IF(AG113="0",J113,0)</f>
        <v>0</v>
      </c>
      <c r="Y113" s="28" t="s">
        <v>74</v>
      </c>
      <c r="Z113" s="19">
        <f>IF(AD113=0,J113,0)</f>
        <v>0</v>
      </c>
      <c r="AA113" s="19">
        <f>IF(AD113=15,J113,0)</f>
        <v>0</v>
      </c>
      <c r="AB113" s="19">
        <f>IF(AD113=21,J113,0)</f>
        <v>0</v>
      </c>
      <c r="AD113" s="37">
        <v>21</v>
      </c>
      <c r="AE113" s="37">
        <f>G113*0</f>
        <v>0</v>
      </c>
      <c r="AF113" s="37">
        <f>G113*(1-0)</f>
        <v>0</v>
      </c>
      <c r="AG113" s="32" t="s">
        <v>11</v>
      </c>
      <c r="AM113" s="37">
        <f>F113*AE113</f>
        <v>0</v>
      </c>
      <c r="AN113" s="37">
        <f>F113*AF113</f>
        <v>0</v>
      </c>
      <c r="AO113" s="38" t="s">
        <v>301</v>
      </c>
      <c r="AP113" s="38" t="s">
        <v>312</v>
      </c>
      <c r="AQ113" s="28" t="s">
        <v>318</v>
      </c>
      <c r="AS113" s="37">
        <f>AM113+AN113</f>
        <v>0</v>
      </c>
      <c r="AT113" s="37">
        <f>G113/(100-AU113)*100</f>
        <v>0</v>
      </c>
      <c r="AU113" s="37">
        <v>0</v>
      </c>
      <c r="AV113" s="37">
        <f>L113</f>
        <v>0</v>
      </c>
    </row>
    <row r="114" spans="1:48" ht="12.75">
      <c r="A114" s="5" t="s">
        <v>54</v>
      </c>
      <c r="B114" s="5" t="s">
        <v>74</v>
      </c>
      <c r="C114" s="5" t="s">
        <v>132</v>
      </c>
      <c r="D114" s="5" t="s">
        <v>228</v>
      </c>
      <c r="E114" s="5" t="s">
        <v>256</v>
      </c>
      <c r="F114" s="19">
        <v>10.8</v>
      </c>
      <c r="G114" s="19">
        <v>0</v>
      </c>
      <c r="H114" s="19">
        <f>F114*AE114</f>
        <v>0</v>
      </c>
      <c r="I114" s="19">
        <f>J114-H114</f>
        <v>0</v>
      </c>
      <c r="J114" s="19">
        <f>F114*G114</f>
        <v>0</v>
      </c>
      <c r="K114" s="19">
        <v>0</v>
      </c>
      <c r="L114" s="19">
        <f>F114*K114</f>
        <v>0</v>
      </c>
      <c r="M114" s="32"/>
      <c r="P114" s="37">
        <f>IF(AG114="5",J114,0)</f>
        <v>0</v>
      </c>
      <c r="R114" s="37">
        <f>IF(AG114="1",H114,0)</f>
        <v>0</v>
      </c>
      <c r="S114" s="37">
        <f>IF(AG114="1",I114,0)</f>
        <v>0</v>
      </c>
      <c r="T114" s="37">
        <f>IF(AG114="7",H114,0)</f>
        <v>0</v>
      </c>
      <c r="U114" s="37">
        <f>IF(AG114="7",I114,0)</f>
        <v>0</v>
      </c>
      <c r="V114" s="37">
        <f>IF(AG114="2",H114,0)</f>
        <v>0</v>
      </c>
      <c r="W114" s="37">
        <f>IF(AG114="2",I114,0)</f>
        <v>0</v>
      </c>
      <c r="X114" s="37">
        <f>IF(AG114="0",J114,0)</f>
        <v>0</v>
      </c>
      <c r="Y114" s="28" t="s">
        <v>74</v>
      </c>
      <c r="Z114" s="19">
        <f>IF(AD114=0,J114,0)</f>
        <v>0</v>
      </c>
      <c r="AA114" s="19">
        <f>IF(AD114=15,J114,0)</f>
        <v>0</v>
      </c>
      <c r="AB114" s="19">
        <f>IF(AD114=21,J114,0)</f>
        <v>0</v>
      </c>
      <c r="AD114" s="37">
        <v>21</v>
      </c>
      <c r="AE114" s="37">
        <f>G114*0</f>
        <v>0</v>
      </c>
      <c r="AF114" s="37">
        <f>G114*(1-0)</f>
        <v>0</v>
      </c>
      <c r="AG114" s="32" t="s">
        <v>11</v>
      </c>
      <c r="AM114" s="37">
        <f>F114*AE114</f>
        <v>0</v>
      </c>
      <c r="AN114" s="37">
        <f>F114*AF114</f>
        <v>0</v>
      </c>
      <c r="AO114" s="38" t="s">
        <v>301</v>
      </c>
      <c r="AP114" s="38" t="s">
        <v>312</v>
      </c>
      <c r="AQ114" s="28" t="s">
        <v>318</v>
      </c>
      <c r="AS114" s="37">
        <f>AM114+AN114</f>
        <v>0</v>
      </c>
      <c r="AT114" s="37">
        <f>G114/(100-AU114)*100</f>
        <v>0</v>
      </c>
      <c r="AU114" s="37">
        <v>0</v>
      </c>
      <c r="AV114" s="37">
        <f>L114</f>
        <v>0</v>
      </c>
    </row>
    <row r="115" spans="1:48" ht="12.75">
      <c r="A115" s="5" t="s">
        <v>55</v>
      </c>
      <c r="B115" s="5" t="s">
        <v>74</v>
      </c>
      <c r="C115" s="5" t="s">
        <v>133</v>
      </c>
      <c r="D115" s="5" t="s">
        <v>229</v>
      </c>
      <c r="E115" s="5" t="s">
        <v>256</v>
      </c>
      <c r="F115" s="19">
        <v>7.92</v>
      </c>
      <c r="G115" s="19">
        <v>0</v>
      </c>
      <c r="H115" s="19">
        <f>F115*AE115</f>
        <v>0</v>
      </c>
      <c r="I115" s="19">
        <f>J115-H115</f>
        <v>0</v>
      </c>
      <c r="J115" s="19">
        <f>F115*G115</f>
        <v>0</v>
      </c>
      <c r="K115" s="19">
        <v>0</v>
      </c>
      <c r="L115" s="19">
        <f>F115*K115</f>
        <v>0</v>
      </c>
      <c r="M115" s="32"/>
      <c r="P115" s="37">
        <f>IF(AG115="5",J115,0)</f>
        <v>0</v>
      </c>
      <c r="R115" s="37">
        <f>IF(AG115="1",H115,0)</f>
        <v>0</v>
      </c>
      <c r="S115" s="37">
        <f>IF(AG115="1",I115,0)</f>
        <v>0</v>
      </c>
      <c r="T115" s="37">
        <f>IF(AG115="7",H115,0)</f>
        <v>0</v>
      </c>
      <c r="U115" s="37">
        <f>IF(AG115="7",I115,0)</f>
        <v>0</v>
      </c>
      <c r="V115" s="37">
        <f>IF(AG115="2",H115,0)</f>
        <v>0</v>
      </c>
      <c r="W115" s="37">
        <f>IF(AG115="2",I115,0)</f>
        <v>0</v>
      </c>
      <c r="X115" s="37">
        <f>IF(AG115="0",J115,0)</f>
        <v>0</v>
      </c>
      <c r="Y115" s="28" t="s">
        <v>74</v>
      </c>
      <c r="Z115" s="19">
        <f>IF(AD115=0,J115,0)</f>
        <v>0</v>
      </c>
      <c r="AA115" s="19">
        <f>IF(AD115=15,J115,0)</f>
        <v>0</v>
      </c>
      <c r="AB115" s="19">
        <f>IF(AD115=21,J115,0)</f>
        <v>0</v>
      </c>
      <c r="AD115" s="37">
        <v>21</v>
      </c>
      <c r="AE115" s="37">
        <f>G115*0</f>
        <v>0</v>
      </c>
      <c r="AF115" s="37">
        <f>G115*(1-0)</f>
        <v>0</v>
      </c>
      <c r="AG115" s="32" t="s">
        <v>11</v>
      </c>
      <c r="AM115" s="37">
        <f>F115*AE115</f>
        <v>0</v>
      </c>
      <c r="AN115" s="37">
        <f>F115*AF115</f>
        <v>0</v>
      </c>
      <c r="AO115" s="38" t="s">
        <v>301</v>
      </c>
      <c r="AP115" s="38" t="s">
        <v>312</v>
      </c>
      <c r="AQ115" s="28" t="s">
        <v>318</v>
      </c>
      <c r="AS115" s="37">
        <f>AM115+AN115</f>
        <v>0</v>
      </c>
      <c r="AT115" s="37">
        <f>G115/(100-AU115)*100</f>
        <v>0</v>
      </c>
      <c r="AU115" s="37">
        <v>0</v>
      </c>
      <c r="AV115" s="37">
        <f>L115</f>
        <v>0</v>
      </c>
    </row>
    <row r="116" spans="1:37" ht="12.75">
      <c r="A116" s="4"/>
      <c r="B116" s="14" t="s">
        <v>74</v>
      </c>
      <c r="C116" s="14"/>
      <c r="D116" s="111" t="s">
        <v>185</v>
      </c>
      <c r="E116" s="112"/>
      <c r="F116" s="112"/>
      <c r="G116" s="112"/>
      <c r="H116" s="40">
        <f>SUM(H117:H122)</f>
        <v>0</v>
      </c>
      <c r="I116" s="40">
        <f>SUM(I117:I122)</f>
        <v>0</v>
      </c>
      <c r="J116" s="40">
        <f>H116+I116</f>
        <v>0</v>
      </c>
      <c r="K116" s="28"/>
      <c r="L116" s="40">
        <f>SUM(L117:L122)</f>
        <v>19.4388</v>
      </c>
      <c r="M116" s="28"/>
      <c r="Y116" s="28" t="s">
        <v>74</v>
      </c>
      <c r="AI116" s="40">
        <f>SUM(Z117:Z122)</f>
        <v>0</v>
      </c>
      <c r="AJ116" s="40">
        <f>SUM(AA117:AA122)</f>
        <v>0</v>
      </c>
      <c r="AK116" s="40">
        <f>SUM(AB117:AB122)</f>
        <v>0</v>
      </c>
    </row>
    <row r="117" spans="1:48" ht="12.75">
      <c r="A117" s="6" t="s">
        <v>56</v>
      </c>
      <c r="B117" s="6" t="s">
        <v>74</v>
      </c>
      <c r="C117" s="6" t="s">
        <v>134</v>
      </c>
      <c r="D117" s="6" t="s">
        <v>230</v>
      </c>
      <c r="E117" s="6" t="s">
        <v>251</v>
      </c>
      <c r="F117" s="20">
        <v>40</v>
      </c>
      <c r="G117" s="20">
        <v>0</v>
      </c>
      <c r="H117" s="20">
        <f>F117*AE117</f>
        <v>0</v>
      </c>
      <c r="I117" s="20">
        <f>J117-H117</f>
        <v>0</v>
      </c>
      <c r="J117" s="20">
        <f>F117*G117</f>
        <v>0</v>
      </c>
      <c r="K117" s="20">
        <v>0.00022</v>
      </c>
      <c r="L117" s="20">
        <f>F117*K117</f>
        <v>0.0088</v>
      </c>
      <c r="M117" s="33"/>
      <c r="P117" s="37">
        <f>IF(AG117="5",J117,0)</f>
        <v>0</v>
      </c>
      <c r="R117" s="37">
        <f>IF(AG117="1",H117,0)</f>
        <v>0</v>
      </c>
      <c r="S117" s="37">
        <f>IF(AG117="1",I117,0)</f>
        <v>0</v>
      </c>
      <c r="T117" s="37">
        <f>IF(AG117="7",H117,0)</f>
        <v>0</v>
      </c>
      <c r="U117" s="37">
        <f>IF(AG117="7",I117,0)</f>
        <v>0</v>
      </c>
      <c r="V117" s="37">
        <f>IF(AG117="2",H117,0)</f>
        <v>0</v>
      </c>
      <c r="W117" s="37">
        <f>IF(AG117="2",I117,0)</f>
        <v>0</v>
      </c>
      <c r="X117" s="37">
        <f>IF(AG117="0",J117,0)</f>
        <v>0</v>
      </c>
      <c r="Y117" s="28" t="s">
        <v>74</v>
      </c>
      <c r="Z117" s="20">
        <f>IF(AD117=0,J117,0)</f>
        <v>0</v>
      </c>
      <c r="AA117" s="20">
        <f>IF(AD117=15,J117,0)</f>
        <v>0</v>
      </c>
      <c r="AB117" s="20">
        <f>IF(AD117=21,J117,0)</f>
        <v>0</v>
      </c>
      <c r="AD117" s="37">
        <v>21</v>
      </c>
      <c r="AE117" s="37">
        <f>G117*1</f>
        <v>0</v>
      </c>
      <c r="AF117" s="37">
        <f>G117*(1-1)</f>
        <v>0</v>
      </c>
      <c r="AG117" s="33" t="s">
        <v>281</v>
      </c>
      <c r="AM117" s="37">
        <f>F117*AE117</f>
        <v>0</v>
      </c>
      <c r="AN117" s="37">
        <f>F117*AF117</f>
        <v>0</v>
      </c>
      <c r="AO117" s="38" t="s">
        <v>291</v>
      </c>
      <c r="AP117" s="38" t="s">
        <v>313</v>
      </c>
      <c r="AQ117" s="28" t="s">
        <v>318</v>
      </c>
      <c r="AS117" s="37">
        <f>AM117+AN117</f>
        <v>0</v>
      </c>
      <c r="AT117" s="37">
        <f>G117/(100-AU117)*100</f>
        <v>0</v>
      </c>
      <c r="AU117" s="37">
        <v>0</v>
      </c>
      <c r="AV117" s="37">
        <f>L117</f>
        <v>0.0088</v>
      </c>
    </row>
    <row r="118" spans="1:48" ht="12.75">
      <c r="A118" s="6"/>
      <c r="B118" s="6"/>
      <c r="C118" s="61" t="s">
        <v>71</v>
      </c>
      <c r="D118" s="60" t="s">
        <v>387</v>
      </c>
      <c r="E118" s="6"/>
      <c r="F118" s="20"/>
      <c r="G118" s="20"/>
      <c r="H118" s="20"/>
      <c r="I118" s="20"/>
      <c r="J118" s="20"/>
      <c r="K118" s="20"/>
      <c r="L118" s="20"/>
      <c r="M118" s="33"/>
      <c r="P118" s="37"/>
      <c r="R118" s="37"/>
      <c r="S118" s="37"/>
      <c r="T118" s="37"/>
      <c r="U118" s="37"/>
      <c r="V118" s="37"/>
      <c r="W118" s="37"/>
      <c r="X118" s="37"/>
      <c r="Y118" s="28"/>
      <c r="Z118" s="20"/>
      <c r="AA118" s="20"/>
      <c r="AB118" s="20"/>
      <c r="AD118" s="37"/>
      <c r="AE118" s="37"/>
      <c r="AF118" s="37"/>
      <c r="AG118" s="33"/>
      <c r="AM118" s="37"/>
      <c r="AN118" s="37"/>
      <c r="AO118" s="38"/>
      <c r="AP118" s="38"/>
      <c r="AQ118" s="28"/>
      <c r="AS118" s="37"/>
      <c r="AT118" s="37"/>
      <c r="AU118" s="37"/>
      <c r="AV118" s="37"/>
    </row>
    <row r="119" spans="1:48" ht="12.75">
      <c r="A119" s="6" t="s">
        <v>57</v>
      </c>
      <c r="B119" s="6" t="s">
        <v>74</v>
      </c>
      <c r="C119" s="6" t="s">
        <v>135</v>
      </c>
      <c r="D119" s="6" t="s">
        <v>231</v>
      </c>
      <c r="E119" s="6" t="s">
        <v>256</v>
      </c>
      <c r="F119" s="20">
        <v>5.2</v>
      </c>
      <c r="G119" s="20">
        <v>0</v>
      </c>
      <c r="H119" s="20">
        <f>F119*AE119</f>
        <v>0</v>
      </c>
      <c r="I119" s="20">
        <f>J119-H119</f>
        <v>0</v>
      </c>
      <c r="J119" s="20">
        <f>F119*G119</f>
        <v>0</v>
      </c>
      <c r="K119" s="20">
        <v>1</v>
      </c>
      <c r="L119" s="20">
        <f>F119*K119</f>
        <v>5.2</v>
      </c>
      <c r="M119" s="33"/>
      <c r="P119" s="37">
        <f>IF(AG119="5",J119,0)</f>
        <v>0</v>
      </c>
      <c r="R119" s="37">
        <f>IF(AG119="1",H119,0)</f>
        <v>0</v>
      </c>
      <c r="S119" s="37">
        <f>IF(AG119="1",I119,0)</f>
        <v>0</v>
      </c>
      <c r="T119" s="37">
        <f>IF(AG119="7",H119,0)</f>
        <v>0</v>
      </c>
      <c r="U119" s="37">
        <f>IF(AG119="7",I119,0)</f>
        <v>0</v>
      </c>
      <c r="V119" s="37">
        <f>IF(AG119="2",H119,0)</f>
        <v>0</v>
      </c>
      <c r="W119" s="37">
        <f>IF(AG119="2",I119,0)</f>
        <v>0</v>
      </c>
      <c r="X119" s="37">
        <f>IF(AG119="0",J119,0)</f>
        <v>0</v>
      </c>
      <c r="Y119" s="28" t="s">
        <v>74</v>
      </c>
      <c r="Z119" s="20">
        <f>IF(AD119=0,J119,0)</f>
        <v>0</v>
      </c>
      <c r="AA119" s="20">
        <f>IF(AD119=15,J119,0)</f>
        <v>0</v>
      </c>
      <c r="AB119" s="20">
        <f>IF(AD119=21,J119,0)</f>
        <v>0</v>
      </c>
      <c r="AD119" s="37">
        <v>21</v>
      </c>
      <c r="AE119" s="37">
        <f>G119*1</f>
        <v>0</v>
      </c>
      <c r="AF119" s="37">
        <f>G119*(1-1)</f>
        <v>0</v>
      </c>
      <c r="AG119" s="33" t="s">
        <v>281</v>
      </c>
      <c r="AM119" s="37">
        <f>F119*AE119</f>
        <v>0</v>
      </c>
      <c r="AN119" s="37">
        <f>F119*AF119</f>
        <v>0</v>
      </c>
      <c r="AO119" s="38" t="s">
        <v>291</v>
      </c>
      <c r="AP119" s="38" t="s">
        <v>313</v>
      </c>
      <c r="AQ119" s="28" t="s">
        <v>318</v>
      </c>
      <c r="AS119" s="37">
        <f>AM119+AN119</f>
        <v>0</v>
      </c>
      <c r="AT119" s="37">
        <f>G119/(100-AU119)*100</f>
        <v>0</v>
      </c>
      <c r="AU119" s="37">
        <v>0</v>
      </c>
      <c r="AV119" s="37">
        <f>L119</f>
        <v>5.2</v>
      </c>
    </row>
    <row r="120" spans="1:48" ht="12.75">
      <c r="A120" s="6"/>
      <c r="B120" s="6"/>
      <c r="C120" s="61" t="s">
        <v>71</v>
      </c>
      <c r="D120" s="60" t="s">
        <v>388</v>
      </c>
      <c r="E120" s="6"/>
      <c r="F120" s="20"/>
      <c r="G120" s="20"/>
      <c r="H120" s="20"/>
      <c r="I120" s="20"/>
      <c r="J120" s="20"/>
      <c r="K120" s="20"/>
      <c r="L120" s="20"/>
      <c r="M120" s="33"/>
      <c r="P120" s="37"/>
      <c r="R120" s="37"/>
      <c r="S120" s="37"/>
      <c r="T120" s="37"/>
      <c r="U120" s="37"/>
      <c r="V120" s="37"/>
      <c r="W120" s="37"/>
      <c r="X120" s="37"/>
      <c r="Y120" s="28"/>
      <c r="Z120" s="20"/>
      <c r="AA120" s="20"/>
      <c r="AB120" s="20"/>
      <c r="AD120" s="37"/>
      <c r="AE120" s="37"/>
      <c r="AF120" s="37"/>
      <c r="AG120" s="33"/>
      <c r="AM120" s="37"/>
      <c r="AN120" s="37"/>
      <c r="AO120" s="38"/>
      <c r="AP120" s="38"/>
      <c r="AQ120" s="28"/>
      <c r="AS120" s="37"/>
      <c r="AT120" s="37"/>
      <c r="AU120" s="37"/>
      <c r="AV120" s="37"/>
    </row>
    <row r="121" spans="1:48" ht="12.75">
      <c r="A121" s="6" t="s">
        <v>58</v>
      </c>
      <c r="B121" s="6" t="s">
        <v>74</v>
      </c>
      <c r="C121" s="6" t="s">
        <v>136</v>
      </c>
      <c r="D121" s="6" t="s">
        <v>232</v>
      </c>
      <c r="E121" s="6" t="s">
        <v>256</v>
      </c>
      <c r="F121" s="20">
        <v>4.23</v>
      </c>
      <c r="G121" s="20">
        <v>0</v>
      </c>
      <c r="H121" s="20">
        <f>F121*AE121</f>
        <v>0</v>
      </c>
      <c r="I121" s="20">
        <f>J121-H121</f>
        <v>0</v>
      </c>
      <c r="J121" s="20">
        <f>F121*G121</f>
        <v>0</v>
      </c>
      <c r="K121" s="20">
        <v>1</v>
      </c>
      <c r="L121" s="20">
        <f>F121*K121</f>
        <v>4.23</v>
      </c>
      <c r="M121" s="33"/>
      <c r="P121" s="37">
        <f>IF(AG121="5",J121,0)</f>
        <v>0</v>
      </c>
      <c r="R121" s="37">
        <f>IF(AG121="1",H121,0)</f>
        <v>0</v>
      </c>
      <c r="S121" s="37">
        <f>IF(AG121="1",I121,0)</f>
        <v>0</v>
      </c>
      <c r="T121" s="37">
        <f>IF(AG121="7",H121,0)</f>
        <v>0</v>
      </c>
      <c r="U121" s="37">
        <f>IF(AG121="7",I121,0)</f>
        <v>0</v>
      </c>
      <c r="V121" s="37">
        <f>IF(AG121="2",H121,0)</f>
        <v>0</v>
      </c>
      <c r="W121" s="37">
        <f>IF(AG121="2",I121,0)</f>
        <v>0</v>
      </c>
      <c r="X121" s="37">
        <f>IF(AG121="0",J121,0)</f>
        <v>0</v>
      </c>
      <c r="Y121" s="28" t="s">
        <v>74</v>
      </c>
      <c r="Z121" s="20">
        <f>IF(AD121=0,J121,0)</f>
        <v>0</v>
      </c>
      <c r="AA121" s="20">
        <f>IF(AD121=15,J121,0)</f>
        <v>0</v>
      </c>
      <c r="AB121" s="20">
        <f>IF(AD121=21,J121,0)</f>
        <v>0</v>
      </c>
      <c r="AD121" s="37">
        <v>21</v>
      </c>
      <c r="AE121" s="37">
        <f>G121*1</f>
        <v>0</v>
      </c>
      <c r="AF121" s="37">
        <f>G121*(1-1)</f>
        <v>0</v>
      </c>
      <c r="AG121" s="33" t="s">
        <v>281</v>
      </c>
      <c r="AM121" s="37">
        <f>F121*AE121</f>
        <v>0</v>
      </c>
      <c r="AN121" s="37">
        <f>F121*AF121</f>
        <v>0</v>
      </c>
      <c r="AO121" s="38" t="s">
        <v>291</v>
      </c>
      <c r="AP121" s="38" t="s">
        <v>313</v>
      </c>
      <c r="AQ121" s="28" t="s">
        <v>318</v>
      </c>
      <c r="AS121" s="37">
        <f>AM121+AN121</f>
        <v>0</v>
      </c>
      <c r="AT121" s="37">
        <f>G121/(100-AU121)*100</f>
        <v>0</v>
      </c>
      <c r="AU121" s="37">
        <v>0</v>
      </c>
      <c r="AV121" s="37">
        <f>L121</f>
        <v>4.23</v>
      </c>
    </row>
    <row r="122" spans="1:48" ht="12.75">
      <c r="A122" s="6" t="s">
        <v>59</v>
      </c>
      <c r="B122" s="6" t="s">
        <v>74</v>
      </c>
      <c r="C122" s="6" t="s">
        <v>137</v>
      </c>
      <c r="D122" s="6" t="s">
        <v>389</v>
      </c>
      <c r="E122" s="6" t="s">
        <v>256</v>
      </c>
      <c r="F122" s="20">
        <v>10</v>
      </c>
      <c r="G122" s="20">
        <v>0</v>
      </c>
      <c r="H122" s="20">
        <f>F122*AE122</f>
        <v>0</v>
      </c>
      <c r="I122" s="20">
        <f>J122-H122</f>
        <v>0</v>
      </c>
      <c r="J122" s="20">
        <f>F122*G122</f>
        <v>0</v>
      </c>
      <c r="K122" s="20">
        <v>1</v>
      </c>
      <c r="L122" s="20">
        <f>F122*K122</f>
        <v>10</v>
      </c>
      <c r="M122" s="33"/>
      <c r="P122" s="37">
        <f>IF(AG122="5",J122,0)</f>
        <v>0</v>
      </c>
      <c r="R122" s="37">
        <f>IF(AG122="1",H122,0)</f>
        <v>0</v>
      </c>
      <c r="S122" s="37">
        <f>IF(AG122="1",I122,0)</f>
        <v>0</v>
      </c>
      <c r="T122" s="37">
        <f>IF(AG122="7",H122,0)</f>
        <v>0</v>
      </c>
      <c r="U122" s="37">
        <f>IF(AG122="7",I122,0)</f>
        <v>0</v>
      </c>
      <c r="V122" s="37">
        <f>IF(AG122="2",H122,0)</f>
        <v>0</v>
      </c>
      <c r="W122" s="37">
        <f>IF(AG122="2",I122,0)</f>
        <v>0</v>
      </c>
      <c r="X122" s="37">
        <f>IF(AG122="0",J122,0)</f>
        <v>0</v>
      </c>
      <c r="Y122" s="28" t="s">
        <v>74</v>
      </c>
      <c r="Z122" s="20">
        <f>IF(AD122=0,J122,0)</f>
        <v>0</v>
      </c>
      <c r="AA122" s="20">
        <f>IF(AD122=15,J122,0)</f>
        <v>0</v>
      </c>
      <c r="AB122" s="20">
        <f>IF(AD122=21,J122,0)</f>
        <v>0</v>
      </c>
      <c r="AD122" s="37">
        <v>21</v>
      </c>
      <c r="AE122" s="37">
        <f>G122*1</f>
        <v>0</v>
      </c>
      <c r="AF122" s="37">
        <f>G122*(1-1)</f>
        <v>0</v>
      </c>
      <c r="AG122" s="33" t="s">
        <v>281</v>
      </c>
      <c r="AM122" s="37">
        <f>F122*AE122</f>
        <v>0</v>
      </c>
      <c r="AN122" s="37">
        <f>F122*AF122</f>
        <v>0</v>
      </c>
      <c r="AO122" s="38" t="s">
        <v>291</v>
      </c>
      <c r="AP122" s="38" t="s">
        <v>313</v>
      </c>
      <c r="AQ122" s="28" t="s">
        <v>318</v>
      </c>
      <c r="AS122" s="37">
        <f>AM122+AN122</f>
        <v>0</v>
      </c>
      <c r="AT122" s="37">
        <f>G122/(100-AU122)*100</f>
        <v>0</v>
      </c>
      <c r="AU122" s="37">
        <v>0</v>
      </c>
      <c r="AV122" s="37">
        <f>L122</f>
        <v>10</v>
      </c>
    </row>
    <row r="123" spans="1:13" ht="12.75">
      <c r="A123" s="7"/>
      <c r="B123" s="15" t="s">
        <v>75</v>
      </c>
      <c r="C123" s="15"/>
      <c r="D123" s="120" t="s">
        <v>233</v>
      </c>
      <c r="E123" s="121"/>
      <c r="F123" s="121"/>
      <c r="G123" s="121"/>
      <c r="H123" s="41">
        <f>H124+H128+H133+H136+H140</f>
        <v>0</v>
      </c>
      <c r="I123" s="41">
        <f>I124+I128+I133+I136+I140</f>
        <v>0</v>
      </c>
      <c r="J123" s="41">
        <f>H123+I123</f>
        <v>0</v>
      </c>
      <c r="K123" s="29"/>
      <c r="L123" s="41">
        <f>L124+L128+L133+L136+L140</f>
        <v>204.05523999999997</v>
      </c>
      <c r="M123" s="29"/>
    </row>
    <row r="124" spans="1:37" ht="12.75">
      <c r="A124" s="4"/>
      <c r="B124" s="14" t="s">
        <v>75</v>
      </c>
      <c r="C124" s="14" t="s">
        <v>62</v>
      </c>
      <c r="D124" s="111" t="s">
        <v>206</v>
      </c>
      <c r="E124" s="112"/>
      <c r="F124" s="112"/>
      <c r="G124" s="112"/>
      <c r="H124" s="40">
        <f>SUM(H125:H127)</f>
        <v>0</v>
      </c>
      <c r="I124" s="40">
        <f>SUM(I125:I127)</f>
        <v>0</v>
      </c>
      <c r="J124" s="40">
        <f>H124+I124</f>
        <v>0</v>
      </c>
      <c r="K124" s="28"/>
      <c r="L124" s="40">
        <f>SUM(L125:L127)</f>
        <v>56.628750000000004</v>
      </c>
      <c r="M124" s="28"/>
      <c r="Y124" s="28" t="s">
        <v>75</v>
      </c>
      <c r="AI124" s="40">
        <f>SUM(Z125:Z127)</f>
        <v>0</v>
      </c>
      <c r="AJ124" s="40">
        <f>SUM(AA125:AA127)</f>
        <v>0</v>
      </c>
      <c r="AK124" s="40">
        <f>SUM(AB125:AB127)</f>
        <v>0</v>
      </c>
    </row>
    <row r="125" spans="1:48" ht="12.75">
      <c r="A125" s="5" t="s">
        <v>60</v>
      </c>
      <c r="B125" s="5" t="s">
        <v>75</v>
      </c>
      <c r="C125" s="5" t="s">
        <v>138</v>
      </c>
      <c r="D125" s="5" t="s">
        <v>234</v>
      </c>
      <c r="E125" s="5" t="s">
        <v>251</v>
      </c>
      <c r="F125" s="19">
        <v>100</v>
      </c>
      <c r="G125" s="19">
        <v>0</v>
      </c>
      <c r="H125" s="19">
        <f>F125*AE125</f>
        <v>0</v>
      </c>
      <c r="I125" s="19">
        <f>J125-H125</f>
        <v>0</v>
      </c>
      <c r="J125" s="19">
        <f>F125*G125</f>
        <v>0</v>
      </c>
      <c r="K125" s="19">
        <v>0.19695</v>
      </c>
      <c r="L125" s="19">
        <f>F125*K125</f>
        <v>19.695</v>
      </c>
      <c r="M125" s="32"/>
      <c r="P125" s="37">
        <f>IF(AG125="5",J125,0)</f>
        <v>0</v>
      </c>
      <c r="R125" s="37">
        <f>IF(AG125="1",H125,0)</f>
        <v>0</v>
      </c>
      <c r="S125" s="37">
        <f>IF(AG125="1",I125,0)</f>
        <v>0</v>
      </c>
      <c r="T125" s="37">
        <f>IF(AG125="7",H125,0)</f>
        <v>0</v>
      </c>
      <c r="U125" s="37">
        <f>IF(AG125="7",I125,0)</f>
        <v>0</v>
      </c>
      <c r="V125" s="37">
        <f>IF(AG125="2",H125,0)</f>
        <v>0</v>
      </c>
      <c r="W125" s="37">
        <f>IF(AG125="2",I125,0)</f>
        <v>0</v>
      </c>
      <c r="X125" s="37">
        <f>IF(AG125="0",J125,0)</f>
        <v>0</v>
      </c>
      <c r="Y125" s="28" t="s">
        <v>75</v>
      </c>
      <c r="Z125" s="19">
        <f>IF(AD125=0,J125,0)</f>
        <v>0</v>
      </c>
      <c r="AA125" s="19">
        <f>IF(AD125=15,J125,0)</f>
        <v>0</v>
      </c>
      <c r="AB125" s="19">
        <f>IF(AD125=21,J125,0)</f>
        <v>0</v>
      </c>
      <c r="AD125" s="37">
        <v>21</v>
      </c>
      <c r="AE125" s="37">
        <f>G125*0.754198473282443</f>
        <v>0</v>
      </c>
      <c r="AF125" s="37">
        <f>G125*(1-0.754198473282443)</f>
        <v>0</v>
      </c>
      <c r="AG125" s="32" t="s">
        <v>7</v>
      </c>
      <c r="AM125" s="37">
        <f>F125*AE125</f>
        <v>0</v>
      </c>
      <c r="AN125" s="37">
        <f>F125*AF125</f>
        <v>0</v>
      </c>
      <c r="AO125" s="38" t="s">
        <v>294</v>
      </c>
      <c r="AP125" s="38" t="s">
        <v>314</v>
      </c>
      <c r="AQ125" s="28" t="s">
        <v>319</v>
      </c>
      <c r="AS125" s="37">
        <f>AM125+AN125</f>
        <v>0</v>
      </c>
      <c r="AT125" s="37">
        <f>G125/(100-AU125)*100</f>
        <v>0</v>
      </c>
      <c r="AU125" s="37">
        <v>0</v>
      </c>
      <c r="AV125" s="37">
        <f>L125</f>
        <v>19.695</v>
      </c>
    </row>
    <row r="126" spans="1:48" ht="12.75">
      <c r="A126" s="5" t="s">
        <v>61</v>
      </c>
      <c r="B126" s="5" t="s">
        <v>75</v>
      </c>
      <c r="C126" s="5" t="s">
        <v>139</v>
      </c>
      <c r="D126" s="5" t="s">
        <v>235</v>
      </c>
      <c r="E126" s="5" t="s">
        <v>251</v>
      </c>
      <c r="F126" s="19">
        <v>100</v>
      </c>
      <c r="G126" s="19">
        <v>0</v>
      </c>
      <c r="H126" s="19">
        <f>F126*AE126</f>
        <v>0</v>
      </c>
      <c r="I126" s="19">
        <f>J126-H126</f>
        <v>0</v>
      </c>
      <c r="J126" s="19">
        <f>F126*G126</f>
        <v>0</v>
      </c>
      <c r="K126" s="19">
        <v>0</v>
      </c>
      <c r="L126" s="19">
        <f>F126*K126</f>
        <v>0</v>
      </c>
      <c r="M126" s="32"/>
      <c r="P126" s="37">
        <f>IF(AG126="5",J126,0)</f>
        <v>0</v>
      </c>
      <c r="R126" s="37">
        <f>IF(AG126="1",H126,0)</f>
        <v>0</v>
      </c>
      <c r="S126" s="37">
        <f>IF(AG126="1",I126,0)</f>
        <v>0</v>
      </c>
      <c r="T126" s="37">
        <f>IF(AG126="7",H126,0)</f>
        <v>0</v>
      </c>
      <c r="U126" s="37">
        <f>IF(AG126="7",I126,0)</f>
        <v>0</v>
      </c>
      <c r="V126" s="37">
        <f>IF(AG126="2",H126,0)</f>
        <v>0</v>
      </c>
      <c r="W126" s="37">
        <f>IF(AG126="2",I126,0)</f>
        <v>0</v>
      </c>
      <c r="X126" s="37">
        <f>IF(AG126="0",J126,0)</f>
        <v>0</v>
      </c>
      <c r="Y126" s="28" t="s">
        <v>75</v>
      </c>
      <c r="Z126" s="19">
        <f>IF(AD126=0,J126,0)</f>
        <v>0</v>
      </c>
      <c r="AA126" s="19">
        <f>IF(AD126=15,J126,0)</f>
        <v>0</v>
      </c>
      <c r="AB126" s="19">
        <f>IF(AD126=21,J126,0)</f>
        <v>0</v>
      </c>
      <c r="AD126" s="37">
        <v>21</v>
      </c>
      <c r="AE126" s="37">
        <f>G126*0.0137810072663493</f>
        <v>0</v>
      </c>
      <c r="AF126" s="37">
        <f>G126*(1-0.0137810072663493)</f>
        <v>0</v>
      </c>
      <c r="AG126" s="32" t="s">
        <v>7</v>
      </c>
      <c r="AM126" s="37">
        <f>F126*AE126</f>
        <v>0</v>
      </c>
      <c r="AN126" s="37">
        <f>F126*AF126</f>
        <v>0</v>
      </c>
      <c r="AO126" s="38" t="s">
        <v>294</v>
      </c>
      <c r="AP126" s="38" t="s">
        <v>314</v>
      </c>
      <c r="AQ126" s="28" t="s">
        <v>319</v>
      </c>
      <c r="AS126" s="37">
        <f>AM126+AN126</f>
        <v>0</v>
      </c>
      <c r="AT126" s="37">
        <f>G126/(100-AU126)*100</f>
        <v>0</v>
      </c>
      <c r="AU126" s="37">
        <v>0</v>
      </c>
      <c r="AV126" s="37">
        <f>L126</f>
        <v>0</v>
      </c>
    </row>
    <row r="127" spans="1:48" ht="12.75">
      <c r="A127" s="5" t="s">
        <v>62</v>
      </c>
      <c r="B127" s="5" t="s">
        <v>75</v>
      </c>
      <c r="C127" s="5" t="s">
        <v>140</v>
      </c>
      <c r="D127" s="5" t="s">
        <v>236</v>
      </c>
      <c r="E127" s="5" t="s">
        <v>251</v>
      </c>
      <c r="F127" s="19">
        <v>335</v>
      </c>
      <c r="G127" s="19">
        <v>0</v>
      </c>
      <c r="H127" s="19">
        <f>F127*AE127</f>
        <v>0</v>
      </c>
      <c r="I127" s="19">
        <f>J127-H127</f>
        <v>0</v>
      </c>
      <c r="J127" s="19">
        <f>F127*G127</f>
        <v>0</v>
      </c>
      <c r="K127" s="19">
        <v>0.11025</v>
      </c>
      <c r="L127" s="19">
        <f>F127*K127</f>
        <v>36.93375</v>
      </c>
      <c r="M127" s="32"/>
      <c r="P127" s="37">
        <f>IF(AG127="5",J127,0)</f>
        <v>0</v>
      </c>
      <c r="R127" s="37">
        <f>IF(AG127="1",H127,0)</f>
        <v>0</v>
      </c>
      <c r="S127" s="37">
        <f>IF(AG127="1",I127,0)</f>
        <v>0</v>
      </c>
      <c r="T127" s="37">
        <f>IF(AG127="7",H127,0)</f>
        <v>0</v>
      </c>
      <c r="U127" s="37">
        <f>IF(AG127="7",I127,0)</f>
        <v>0</v>
      </c>
      <c r="V127" s="37">
        <f>IF(AG127="2",H127,0)</f>
        <v>0</v>
      </c>
      <c r="W127" s="37">
        <f>IF(AG127="2",I127,0)</f>
        <v>0</v>
      </c>
      <c r="X127" s="37">
        <f>IF(AG127="0",J127,0)</f>
        <v>0</v>
      </c>
      <c r="Y127" s="28" t="s">
        <v>75</v>
      </c>
      <c r="Z127" s="19">
        <f>IF(AD127=0,J127,0)</f>
        <v>0</v>
      </c>
      <c r="AA127" s="19">
        <f>IF(AD127=15,J127,0)</f>
        <v>0</v>
      </c>
      <c r="AB127" s="19">
        <f>IF(AD127=21,J127,0)</f>
        <v>0</v>
      </c>
      <c r="AD127" s="37">
        <v>21</v>
      </c>
      <c r="AE127" s="37">
        <f>G127*0.692896174863388</f>
        <v>0</v>
      </c>
      <c r="AF127" s="37">
        <f>G127*(1-0.692896174863388)</f>
        <v>0</v>
      </c>
      <c r="AG127" s="32" t="s">
        <v>7</v>
      </c>
      <c r="AM127" s="37">
        <f>F127*AE127</f>
        <v>0</v>
      </c>
      <c r="AN127" s="37">
        <f>F127*AF127</f>
        <v>0</v>
      </c>
      <c r="AO127" s="38" t="s">
        <v>294</v>
      </c>
      <c r="AP127" s="38" t="s">
        <v>314</v>
      </c>
      <c r="AQ127" s="28" t="s">
        <v>319</v>
      </c>
      <c r="AS127" s="37">
        <f>AM127+AN127</f>
        <v>0</v>
      </c>
      <c r="AT127" s="37">
        <f>G127/(100-AU127)*100</f>
        <v>0</v>
      </c>
      <c r="AU127" s="37">
        <v>0</v>
      </c>
      <c r="AV127" s="37">
        <f>L127</f>
        <v>36.93375</v>
      </c>
    </row>
    <row r="128" spans="1:37" ht="12.75">
      <c r="A128" s="4"/>
      <c r="B128" s="14" t="s">
        <v>75</v>
      </c>
      <c r="C128" s="14" t="s">
        <v>63</v>
      </c>
      <c r="D128" s="111" t="s">
        <v>208</v>
      </c>
      <c r="E128" s="112"/>
      <c r="F128" s="112"/>
      <c r="G128" s="112"/>
      <c r="H128" s="40">
        <f>SUM(H129:H132)</f>
        <v>0</v>
      </c>
      <c r="I128" s="40">
        <f>SUM(I129:I132)</f>
        <v>0</v>
      </c>
      <c r="J128" s="40">
        <f>H128+I128</f>
        <v>0</v>
      </c>
      <c r="K128" s="28"/>
      <c r="L128" s="40">
        <f>SUM(L129:L132)</f>
        <v>97.80994999999999</v>
      </c>
      <c r="M128" s="28"/>
      <c r="Y128" s="28" t="s">
        <v>75</v>
      </c>
      <c r="AI128" s="40">
        <f>SUM(Z129:Z132)</f>
        <v>0</v>
      </c>
      <c r="AJ128" s="40">
        <f>SUM(AA129:AA132)</f>
        <v>0</v>
      </c>
      <c r="AK128" s="40">
        <f>SUM(AB129:AB132)</f>
        <v>0</v>
      </c>
    </row>
    <row r="129" spans="1:48" ht="12.75">
      <c r="A129" s="5" t="s">
        <v>63</v>
      </c>
      <c r="B129" s="5" t="s">
        <v>75</v>
      </c>
      <c r="C129" s="5" t="s">
        <v>141</v>
      </c>
      <c r="D129" s="5" t="s">
        <v>237</v>
      </c>
      <c r="E129" s="5" t="s">
        <v>251</v>
      </c>
      <c r="F129" s="19">
        <v>335</v>
      </c>
      <c r="G129" s="19">
        <v>0</v>
      </c>
      <c r="H129" s="19">
        <f>F129*AE129</f>
        <v>0</v>
      </c>
      <c r="I129" s="19">
        <f>J129-H129</f>
        <v>0</v>
      </c>
      <c r="J129" s="19">
        <f>F129*G129</f>
        <v>0</v>
      </c>
      <c r="K129" s="19">
        <v>0.00601</v>
      </c>
      <c r="L129" s="19">
        <f>F129*K129</f>
        <v>2.01335</v>
      </c>
      <c r="M129" s="32"/>
      <c r="P129" s="37">
        <f>IF(AG129="5",J129,0)</f>
        <v>0</v>
      </c>
      <c r="R129" s="37">
        <f>IF(AG129="1",H129,0)</f>
        <v>0</v>
      </c>
      <c r="S129" s="37">
        <f>IF(AG129="1",I129,0)</f>
        <v>0</v>
      </c>
      <c r="T129" s="37">
        <f>IF(AG129="7",H129,0)</f>
        <v>0</v>
      </c>
      <c r="U129" s="37">
        <f>IF(AG129="7",I129,0)</f>
        <v>0</v>
      </c>
      <c r="V129" s="37">
        <f>IF(AG129="2",H129,0)</f>
        <v>0</v>
      </c>
      <c r="W129" s="37">
        <f>IF(AG129="2",I129,0)</f>
        <v>0</v>
      </c>
      <c r="X129" s="37">
        <f>IF(AG129="0",J129,0)</f>
        <v>0</v>
      </c>
      <c r="Y129" s="28" t="s">
        <v>75</v>
      </c>
      <c r="Z129" s="19">
        <f>IF(AD129=0,J129,0)</f>
        <v>0</v>
      </c>
      <c r="AA129" s="19">
        <f>IF(AD129=15,J129,0)</f>
        <v>0</v>
      </c>
      <c r="AB129" s="19">
        <f>IF(AD129=21,J129,0)</f>
        <v>0</v>
      </c>
      <c r="AD129" s="37">
        <v>21</v>
      </c>
      <c r="AE129" s="37">
        <f>G129*0.910774410774411</f>
        <v>0</v>
      </c>
      <c r="AF129" s="37">
        <f>G129*(1-0.910774410774411)</f>
        <v>0</v>
      </c>
      <c r="AG129" s="32" t="s">
        <v>7</v>
      </c>
      <c r="AM129" s="37">
        <f>F129*AE129</f>
        <v>0</v>
      </c>
      <c r="AN129" s="37">
        <f>F129*AF129</f>
        <v>0</v>
      </c>
      <c r="AO129" s="38" t="s">
        <v>295</v>
      </c>
      <c r="AP129" s="38" t="s">
        <v>314</v>
      </c>
      <c r="AQ129" s="28" t="s">
        <v>319</v>
      </c>
      <c r="AS129" s="37">
        <f>AM129+AN129</f>
        <v>0</v>
      </c>
      <c r="AT129" s="37">
        <f>G129/(100-AU129)*100</f>
        <v>0</v>
      </c>
      <c r="AU129" s="37">
        <v>0</v>
      </c>
      <c r="AV129" s="37">
        <f>L129</f>
        <v>2.01335</v>
      </c>
    </row>
    <row r="130" spans="1:48" ht="12.75">
      <c r="A130" s="5" t="s">
        <v>64</v>
      </c>
      <c r="B130" s="5" t="s">
        <v>75</v>
      </c>
      <c r="C130" s="5" t="s">
        <v>142</v>
      </c>
      <c r="D130" s="5" t="s">
        <v>238</v>
      </c>
      <c r="E130" s="5" t="s">
        <v>251</v>
      </c>
      <c r="F130" s="19">
        <v>335</v>
      </c>
      <c r="G130" s="19">
        <v>0</v>
      </c>
      <c r="H130" s="19">
        <f>F130*AE130</f>
        <v>0</v>
      </c>
      <c r="I130" s="19">
        <f>J130-H130</f>
        <v>0</v>
      </c>
      <c r="J130" s="19">
        <f>F130*G130</f>
        <v>0</v>
      </c>
      <c r="K130" s="19">
        <v>0.00071</v>
      </c>
      <c r="L130" s="19">
        <f>F130*K130</f>
        <v>0.23785</v>
      </c>
      <c r="M130" s="32"/>
      <c r="P130" s="37">
        <f>IF(AG130="5",J130,0)</f>
        <v>0</v>
      </c>
      <c r="R130" s="37">
        <f>IF(AG130="1",H130,0)</f>
        <v>0</v>
      </c>
      <c r="S130" s="37">
        <f>IF(AG130="1",I130,0)</f>
        <v>0</v>
      </c>
      <c r="T130" s="37">
        <f>IF(AG130="7",H130,0)</f>
        <v>0</v>
      </c>
      <c r="U130" s="37">
        <f>IF(AG130="7",I130,0)</f>
        <v>0</v>
      </c>
      <c r="V130" s="37">
        <f>IF(AG130="2",H130,0)</f>
        <v>0</v>
      </c>
      <c r="W130" s="37">
        <f>IF(AG130="2",I130,0)</f>
        <v>0</v>
      </c>
      <c r="X130" s="37">
        <f>IF(AG130="0",J130,0)</f>
        <v>0</v>
      </c>
      <c r="Y130" s="28" t="s">
        <v>75</v>
      </c>
      <c r="Z130" s="19">
        <f>IF(AD130=0,J130,0)</f>
        <v>0</v>
      </c>
      <c r="AA130" s="19">
        <f>IF(AD130=15,J130,0)</f>
        <v>0</v>
      </c>
      <c r="AB130" s="19">
        <f>IF(AD130=21,J130,0)</f>
        <v>0</v>
      </c>
      <c r="AD130" s="37">
        <v>21</v>
      </c>
      <c r="AE130" s="37">
        <f>G130*0.916326530612245</f>
        <v>0</v>
      </c>
      <c r="AF130" s="37">
        <f>G130*(1-0.916326530612245)</f>
        <v>0</v>
      </c>
      <c r="AG130" s="32" t="s">
        <v>7</v>
      </c>
      <c r="AM130" s="37">
        <f>F130*AE130</f>
        <v>0</v>
      </c>
      <c r="AN130" s="37">
        <f>F130*AF130</f>
        <v>0</v>
      </c>
      <c r="AO130" s="38" t="s">
        <v>295</v>
      </c>
      <c r="AP130" s="38" t="s">
        <v>314</v>
      </c>
      <c r="AQ130" s="28" t="s">
        <v>319</v>
      </c>
      <c r="AS130" s="37">
        <f>AM130+AN130</f>
        <v>0</v>
      </c>
      <c r="AT130" s="37">
        <f>G130/(100-AU130)*100</f>
        <v>0</v>
      </c>
      <c r="AU130" s="37">
        <v>0</v>
      </c>
      <c r="AV130" s="37">
        <f>L130</f>
        <v>0.23785</v>
      </c>
    </row>
    <row r="131" spans="1:48" ht="12.75">
      <c r="A131" s="5" t="s">
        <v>65</v>
      </c>
      <c r="B131" s="5" t="s">
        <v>75</v>
      </c>
      <c r="C131" s="5" t="s">
        <v>143</v>
      </c>
      <c r="D131" s="5" t="s">
        <v>239</v>
      </c>
      <c r="E131" s="5" t="s">
        <v>251</v>
      </c>
      <c r="F131" s="19">
        <v>335</v>
      </c>
      <c r="G131" s="19">
        <v>0</v>
      </c>
      <c r="H131" s="19">
        <f>F131*AE131</f>
        <v>0</v>
      </c>
      <c r="I131" s="19">
        <f>J131-H131</f>
        <v>0</v>
      </c>
      <c r="J131" s="19">
        <f>F131*G131</f>
        <v>0</v>
      </c>
      <c r="K131" s="19">
        <v>0.10373</v>
      </c>
      <c r="L131" s="19">
        <f>F131*K131</f>
        <v>34.74955</v>
      </c>
      <c r="M131" s="32"/>
      <c r="P131" s="37">
        <f>IF(AG131="5",J131,0)</f>
        <v>0</v>
      </c>
      <c r="R131" s="37">
        <f>IF(AG131="1",H131,0)</f>
        <v>0</v>
      </c>
      <c r="S131" s="37">
        <f>IF(AG131="1",I131,0)</f>
        <v>0</v>
      </c>
      <c r="T131" s="37">
        <f>IF(AG131="7",H131,0)</f>
        <v>0</v>
      </c>
      <c r="U131" s="37">
        <f>IF(AG131="7",I131,0)</f>
        <v>0</v>
      </c>
      <c r="V131" s="37">
        <f>IF(AG131="2",H131,0)</f>
        <v>0</v>
      </c>
      <c r="W131" s="37">
        <f>IF(AG131="2",I131,0)</f>
        <v>0</v>
      </c>
      <c r="X131" s="37">
        <f>IF(AG131="0",J131,0)</f>
        <v>0</v>
      </c>
      <c r="Y131" s="28" t="s">
        <v>75</v>
      </c>
      <c r="Z131" s="19">
        <f>IF(AD131=0,J131,0)</f>
        <v>0</v>
      </c>
      <c r="AA131" s="19">
        <f>IF(AD131=15,J131,0)</f>
        <v>0</v>
      </c>
      <c r="AB131" s="19">
        <f>IF(AD131=21,J131,0)</f>
        <v>0</v>
      </c>
      <c r="AD131" s="37">
        <v>21</v>
      </c>
      <c r="AE131" s="37">
        <f>G131*0.623769338959212</f>
        <v>0</v>
      </c>
      <c r="AF131" s="37">
        <f>G131*(1-0.623769338959212)</f>
        <v>0</v>
      </c>
      <c r="AG131" s="32" t="s">
        <v>7</v>
      </c>
      <c r="AM131" s="37">
        <f>F131*AE131</f>
        <v>0</v>
      </c>
      <c r="AN131" s="37">
        <f>F131*AF131</f>
        <v>0</v>
      </c>
      <c r="AO131" s="38" t="s">
        <v>295</v>
      </c>
      <c r="AP131" s="38" t="s">
        <v>314</v>
      </c>
      <c r="AQ131" s="28" t="s">
        <v>319</v>
      </c>
      <c r="AS131" s="37">
        <f>AM131+AN131</f>
        <v>0</v>
      </c>
      <c r="AT131" s="37">
        <f>G131/(100-AU131)*100</f>
        <v>0</v>
      </c>
      <c r="AU131" s="37">
        <v>0</v>
      </c>
      <c r="AV131" s="37">
        <f>L131</f>
        <v>34.74955</v>
      </c>
    </row>
    <row r="132" spans="1:48" ht="12.75">
      <c r="A132" s="5" t="s">
        <v>66</v>
      </c>
      <c r="B132" s="5" t="s">
        <v>75</v>
      </c>
      <c r="C132" s="5" t="s">
        <v>144</v>
      </c>
      <c r="D132" s="5" t="s">
        <v>240</v>
      </c>
      <c r="E132" s="5" t="s">
        <v>251</v>
      </c>
      <c r="F132" s="19">
        <v>335</v>
      </c>
      <c r="G132" s="19">
        <v>0</v>
      </c>
      <c r="H132" s="19">
        <f>F132*AE132</f>
        <v>0</v>
      </c>
      <c r="I132" s="19">
        <f>J132-H132</f>
        <v>0</v>
      </c>
      <c r="J132" s="19">
        <f>F132*G132</f>
        <v>0</v>
      </c>
      <c r="K132" s="19">
        <v>0.18152</v>
      </c>
      <c r="L132" s="19">
        <f>F132*K132</f>
        <v>60.8092</v>
      </c>
      <c r="M132" s="32"/>
      <c r="P132" s="37">
        <f>IF(AG132="5",J132,0)</f>
        <v>0</v>
      </c>
      <c r="R132" s="37">
        <f>IF(AG132="1",H132,0)</f>
        <v>0</v>
      </c>
      <c r="S132" s="37">
        <f>IF(AG132="1",I132,0)</f>
        <v>0</v>
      </c>
      <c r="T132" s="37">
        <f>IF(AG132="7",H132,0)</f>
        <v>0</v>
      </c>
      <c r="U132" s="37">
        <f>IF(AG132="7",I132,0)</f>
        <v>0</v>
      </c>
      <c r="V132" s="37">
        <f>IF(AG132="2",H132,0)</f>
        <v>0</v>
      </c>
      <c r="W132" s="37">
        <f>IF(AG132="2",I132,0)</f>
        <v>0</v>
      </c>
      <c r="X132" s="37">
        <f>IF(AG132="0",J132,0)</f>
        <v>0</v>
      </c>
      <c r="Y132" s="28" t="s">
        <v>75</v>
      </c>
      <c r="Z132" s="19">
        <f>IF(AD132=0,J132,0)</f>
        <v>0</v>
      </c>
      <c r="AA132" s="19">
        <f>IF(AD132=15,J132,0)</f>
        <v>0</v>
      </c>
      <c r="AB132" s="19">
        <f>IF(AD132=21,J132,0)</f>
        <v>0</v>
      </c>
      <c r="AD132" s="37">
        <v>21</v>
      </c>
      <c r="AE132" s="37">
        <f>G132*0.631299145299145</f>
        <v>0</v>
      </c>
      <c r="AF132" s="37">
        <f>G132*(1-0.631299145299145)</f>
        <v>0</v>
      </c>
      <c r="AG132" s="32" t="s">
        <v>7</v>
      </c>
      <c r="AM132" s="37">
        <f>F132*AE132</f>
        <v>0</v>
      </c>
      <c r="AN132" s="37">
        <f>F132*AF132</f>
        <v>0</v>
      </c>
      <c r="AO132" s="38" t="s">
        <v>295</v>
      </c>
      <c r="AP132" s="38" t="s">
        <v>314</v>
      </c>
      <c r="AQ132" s="28" t="s">
        <v>319</v>
      </c>
      <c r="AS132" s="37">
        <f>AM132+AN132</f>
        <v>0</v>
      </c>
      <c r="AT132" s="37">
        <f>G132/(100-AU132)*100</f>
        <v>0</v>
      </c>
      <c r="AU132" s="37">
        <v>0</v>
      </c>
      <c r="AV132" s="37">
        <f>L132</f>
        <v>60.8092</v>
      </c>
    </row>
    <row r="133" spans="1:37" ht="12.75">
      <c r="A133" s="4"/>
      <c r="B133" s="14" t="s">
        <v>75</v>
      </c>
      <c r="C133" s="14" t="s">
        <v>86</v>
      </c>
      <c r="D133" s="111" t="s">
        <v>172</v>
      </c>
      <c r="E133" s="112"/>
      <c r="F133" s="112"/>
      <c r="G133" s="112"/>
      <c r="H133" s="40">
        <f>SUM(H134:H134)</f>
        <v>0</v>
      </c>
      <c r="I133" s="40">
        <f>SUM(I134:I134)</f>
        <v>0</v>
      </c>
      <c r="J133" s="40">
        <f>H133+I133</f>
        <v>0</v>
      </c>
      <c r="K133" s="28"/>
      <c r="L133" s="40">
        <f>SUM(L134:L134)</f>
        <v>1.58276</v>
      </c>
      <c r="M133" s="28"/>
      <c r="Y133" s="28" t="s">
        <v>75</v>
      </c>
      <c r="AI133" s="40">
        <f>SUM(Z134:Z134)</f>
        <v>0</v>
      </c>
      <c r="AJ133" s="40">
        <f>SUM(AA134:AA134)</f>
        <v>0</v>
      </c>
      <c r="AK133" s="40">
        <f>SUM(AB134:AB134)</f>
        <v>0</v>
      </c>
    </row>
    <row r="134" spans="1:48" ht="12.75">
      <c r="A134" s="5" t="s">
        <v>67</v>
      </c>
      <c r="B134" s="5" t="s">
        <v>75</v>
      </c>
      <c r="C134" s="5" t="s">
        <v>145</v>
      </c>
      <c r="D134" s="5" t="s">
        <v>241</v>
      </c>
      <c r="E134" s="5" t="s">
        <v>254</v>
      </c>
      <c r="F134" s="19">
        <v>2</v>
      </c>
      <c r="G134" s="19">
        <v>0</v>
      </c>
      <c r="H134" s="19">
        <f>F134*AE134</f>
        <v>0</v>
      </c>
      <c r="I134" s="19">
        <f>J134-H134</f>
        <v>0</v>
      </c>
      <c r="J134" s="19">
        <f>F134*G134</f>
        <v>0</v>
      </c>
      <c r="K134" s="19">
        <v>0.79138</v>
      </c>
      <c r="L134" s="19">
        <f>F134*K134</f>
        <v>1.58276</v>
      </c>
      <c r="M134" s="32"/>
      <c r="P134" s="37">
        <f>IF(AG134="5",J134,0)</f>
        <v>0</v>
      </c>
      <c r="R134" s="37">
        <f>IF(AG134="1",H134,0)</f>
        <v>0</v>
      </c>
      <c r="S134" s="37">
        <f>IF(AG134="1",I134,0)</f>
        <v>0</v>
      </c>
      <c r="T134" s="37">
        <f>IF(AG134="7",H134,0)</f>
        <v>0</v>
      </c>
      <c r="U134" s="37">
        <f>IF(AG134="7",I134,0)</f>
        <v>0</v>
      </c>
      <c r="V134" s="37">
        <f>IF(AG134="2",H134,0)</f>
        <v>0</v>
      </c>
      <c r="W134" s="37">
        <f>IF(AG134="2",I134,0)</f>
        <v>0</v>
      </c>
      <c r="X134" s="37">
        <f>IF(AG134="0",J134,0)</f>
        <v>0</v>
      </c>
      <c r="Y134" s="28" t="s">
        <v>75</v>
      </c>
      <c r="Z134" s="19">
        <f>IF(AD134=0,J134,0)</f>
        <v>0</v>
      </c>
      <c r="AA134" s="19">
        <f>IF(AD134=15,J134,0)</f>
        <v>0</v>
      </c>
      <c r="AB134" s="19">
        <f>IF(AD134=21,J134,0)</f>
        <v>0</v>
      </c>
      <c r="AD134" s="37">
        <v>21</v>
      </c>
      <c r="AE134" s="37">
        <f>G134*0.8225717606043</f>
        <v>0</v>
      </c>
      <c r="AF134" s="37">
        <f>G134*(1-0.8225717606043)</f>
        <v>0</v>
      </c>
      <c r="AG134" s="32" t="s">
        <v>7</v>
      </c>
      <c r="AM134" s="37">
        <f>F134*AE134</f>
        <v>0</v>
      </c>
      <c r="AN134" s="37">
        <f>F134*AF134</f>
        <v>0</v>
      </c>
      <c r="AO134" s="38" t="s">
        <v>288</v>
      </c>
      <c r="AP134" s="38" t="s">
        <v>315</v>
      </c>
      <c r="AQ134" s="28" t="s">
        <v>319</v>
      </c>
      <c r="AS134" s="37">
        <f>AM134+AN134</f>
        <v>0</v>
      </c>
      <c r="AT134" s="37">
        <f>G134/(100-AU134)*100</f>
        <v>0</v>
      </c>
      <c r="AU134" s="37">
        <v>0</v>
      </c>
      <c r="AV134" s="37">
        <f>L134</f>
        <v>1.58276</v>
      </c>
    </row>
    <row r="135" spans="3:13" ht="12.75">
      <c r="C135" s="16" t="s">
        <v>71</v>
      </c>
      <c r="D135" s="113" t="s">
        <v>242</v>
      </c>
      <c r="E135" s="114"/>
      <c r="F135" s="114"/>
      <c r="G135" s="114"/>
      <c r="H135" s="114"/>
      <c r="I135" s="114"/>
      <c r="J135" s="114"/>
      <c r="K135" s="114"/>
      <c r="L135" s="114"/>
      <c r="M135" s="114"/>
    </row>
    <row r="136" spans="1:37" ht="12.75">
      <c r="A136" s="4"/>
      <c r="B136" s="14" t="s">
        <v>75</v>
      </c>
      <c r="C136" s="14" t="s">
        <v>92</v>
      </c>
      <c r="D136" s="111" t="s">
        <v>178</v>
      </c>
      <c r="E136" s="112"/>
      <c r="F136" s="112"/>
      <c r="G136" s="112"/>
      <c r="H136" s="40">
        <f>SUM(H137:H139)</f>
        <v>0</v>
      </c>
      <c r="I136" s="40">
        <f>SUM(I137:I139)</f>
        <v>0</v>
      </c>
      <c r="J136" s="40">
        <f>H136+I136</f>
        <v>0</v>
      </c>
      <c r="K136" s="28"/>
      <c r="L136" s="40">
        <f>SUM(L137:L139)</f>
        <v>48.03377999999999</v>
      </c>
      <c r="M136" s="28"/>
      <c r="Y136" s="28" t="s">
        <v>75</v>
      </c>
      <c r="AI136" s="40">
        <f>SUM(Z137:Z139)</f>
        <v>0</v>
      </c>
      <c r="AJ136" s="40">
        <f>SUM(AA137:AA139)</f>
        <v>0</v>
      </c>
      <c r="AK136" s="40">
        <f>SUM(AB137:AB139)</f>
        <v>0</v>
      </c>
    </row>
    <row r="137" spans="1:48" ht="12.75">
      <c r="A137" s="5" t="s">
        <v>68</v>
      </c>
      <c r="B137" s="5" t="s">
        <v>75</v>
      </c>
      <c r="C137" s="5" t="s">
        <v>146</v>
      </c>
      <c r="D137" s="5" t="s">
        <v>243</v>
      </c>
      <c r="E137" s="5" t="s">
        <v>253</v>
      </c>
      <c r="F137" s="19">
        <v>108</v>
      </c>
      <c r="G137" s="19">
        <v>0</v>
      </c>
      <c r="H137" s="19">
        <f>F137*AE137</f>
        <v>0</v>
      </c>
      <c r="I137" s="19">
        <f>J137-H137</f>
        <v>0</v>
      </c>
      <c r="J137" s="19">
        <f>F137*G137</f>
        <v>0</v>
      </c>
      <c r="K137" s="19">
        <v>0.26941</v>
      </c>
      <c r="L137" s="19">
        <f>F137*K137</f>
        <v>29.096279999999997</v>
      </c>
      <c r="M137" s="32"/>
      <c r="P137" s="37">
        <f>IF(AG137="5",J137,0)</f>
        <v>0</v>
      </c>
      <c r="R137" s="37">
        <f>IF(AG137="1",H137,0)</f>
        <v>0</v>
      </c>
      <c r="S137" s="37">
        <f>IF(AG137="1",I137,0)</f>
        <v>0</v>
      </c>
      <c r="T137" s="37">
        <f>IF(AG137="7",H137,0)</f>
        <v>0</v>
      </c>
      <c r="U137" s="37">
        <f>IF(AG137="7",I137,0)</f>
        <v>0</v>
      </c>
      <c r="V137" s="37">
        <f>IF(AG137="2",H137,0)</f>
        <v>0</v>
      </c>
      <c r="W137" s="37">
        <f>IF(AG137="2",I137,0)</f>
        <v>0</v>
      </c>
      <c r="X137" s="37">
        <f>IF(AG137="0",J137,0)</f>
        <v>0</v>
      </c>
      <c r="Y137" s="28" t="s">
        <v>75</v>
      </c>
      <c r="Z137" s="19">
        <f>IF(AD137=0,J137,0)</f>
        <v>0</v>
      </c>
      <c r="AA137" s="19">
        <f>IF(AD137=15,J137,0)</f>
        <v>0</v>
      </c>
      <c r="AB137" s="19">
        <f>IF(AD137=21,J137,0)</f>
        <v>0</v>
      </c>
      <c r="AD137" s="37">
        <v>21</v>
      </c>
      <c r="AE137" s="37">
        <f>G137*0.762534435261708</f>
        <v>0</v>
      </c>
      <c r="AF137" s="37">
        <f>G137*(1-0.762534435261708)</f>
        <v>0</v>
      </c>
      <c r="AG137" s="32" t="s">
        <v>7</v>
      </c>
      <c r="AM137" s="37">
        <f>F137*AE137</f>
        <v>0</v>
      </c>
      <c r="AN137" s="37">
        <f>F137*AF137</f>
        <v>0</v>
      </c>
      <c r="AO137" s="38" t="s">
        <v>289</v>
      </c>
      <c r="AP137" s="38" t="s">
        <v>316</v>
      </c>
      <c r="AQ137" s="28" t="s">
        <v>319</v>
      </c>
      <c r="AS137" s="37">
        <f>AM137+AN137</f>
        <v>0</v>
      </c>
      <c r="AT137" s="37">
        <f>G137/(100-AU137)*100</f>
        <v>0</v>
      </c>
      <c r="AU137" s="37">
        <v>0</v>
      </c>
      <c r="AV137" s="37">
        <f>L137</f>
        <v>29.096279999999997</v>
      </c>
    </row>
    <row r="138" spans="3:13" ht="12.75">
      <c r="C138" s="16" t="s">
        <v>71</v>
      </c>
      <c r="D138" s="113" t="s">
        <v>244</v>
      </c>
      <c r="E138" s="114"/>
      <c r="F138" s="114"/>
      <c r="G138" s="114"/>
      <c r="H138" s="114"/>
      <c r="I138" s="114"/>
      <c r="J138" s="114"/>
      <c r="K138" s="114"/>
      <c r="L138" s="114"/>
      <c r="M138" s="114"/>
    </row>
    <row r="139" spans="1:48" ht="12.75">
      <c r="A139" s="5" t="s">
        <v>69</v>
      </c>
      <c r="B139" s="5" t="s">
        <v>75</v>
      </c>
      <c r="C139" s="5" t="s">
        <v>125</v>
      </c>
      <c r="D139" s="5" t="s">
        <v>221</v>
      </c>
      <c r="E139" s="5" t="s">
        <v>252</v>
      </c>
      <c r="F139" s="19">
        <v>7.5</v>
      </c>
      <c r="G139" s="19">
        <v>0</v>
      </c>
      <c r="H139" s="19">
        <f>F139*AE139</f>
        <v>0</v>
      </c>
      <c r="I139" s="19">
        <f>J139-H139</f>
        <v>0</v>
      </c>
      <c r="J139" s="19">
        <f>F139*G139</f>
        <v>0</v>
      </c>
      <c r="K139" s="19">
        <v>2.525</v>
      </c>
      <c r="L139" s="19">
        <f>F139*K139</f>
        <v>18.9375</v>
      </c>
      <c r="M139" s="32"/>
      <c r="P139" s="37">
        <f>IF(AG139="5",J139,0)</f>
        <v>0</v>
      </c>
      <c r="R139" s="37">
        <f>IF(AG139="1",H139,0)</f>
        <v>0</v>
      </c>
      <c r="S139" s="37">
        <f>IF(AG139="1",I139,0)</f>
        <v>0</v>
      </c>
      <c r="T139" s="37">
        <f>IF(AG139="7",H139,0)</f>
        <v>0</v>
      </c>
      <c r="U139" s="37">
        <f>IF(AG139="7",I139,0)</f>
        <v>0</v>
      </c>
      <c r="V139" s="37">
        <f>IF(AG139="2",H139,0)</f>
        <v>0</v>
      </c>
      <c r="W139" s="37">
        <f>IF(AG139="2",I139,0)</f>
        <v>0</v>
      </c>
      <c r="X139" s="37">
        <f>IF(AG139="0",J139,0)</f>
        <v>0</v>
      </c>
      <c r="Y139" s="28" t="s">
        <v>75</v>
      </c>
      <c r="Z139" s="19">
        <f>IF(AD139=0,J139,0)</f>
        <v>0</v>
      </c>
      <c r="AA139" s="19">
        <f>IF(AD139=15,J139,0)</f>
        <v>0</v>
      </c>
      <c r="AB139" s="19">
        <f>IF(AD139=21,J139,0)</f>
        <v>0</v>
      </c>
      <c r="AD139" s="37">
        <v>21</v>
      </c>
      <c r="AE139" s="37">
        <f>G139*0.829232067510548</f>
        <v>0</v>
      </c>
      <c r="AF139" s="37">
        <f>G139*(1-0.829232067510548)</f>
        <v>0</v>
      </c>
      <c r="AG139" s="32" t="s">
        <v>7</v>
      </c>
      <c r="AM139" s="37">
        <f>F139*AE139</f>
        <v>0</v>
      </c>
      <c r="AN139" s="37">
        <f>F139*AF139</f>
        <v>0</v>
      </c>
      <c r="AO139" s="38" t="s">
        <v>289</v>
      </c>
      <c r="AP139" s="38" t="s">
        <v>316</v>
      </c>
      <c r="AQ139" s="28" t="s">
        <v>319</v>
      </c>
      <c r="AS139" s="37">
        <f>AM139+AN139</f>
        <v>0</v>
      </c>
      <c r="AT139" s="37">
        <f>G139/(100-AU139)*100</f>
        <v>0</v>
      </c>
      <c r="AU139" s="37">
        <v>0</v>
      </c>
      <c r="AV139" s="37">
        <f>L139</f>
        <v>18.9375</v>
      </c>
    </row>
    <row r="140" spans="1:37" ht="12.75">
      <c r="A140" s="4"/>
      <c r="B140" s="14" t="s">
        <v>75</v>
      </c>
      <c r="C140" s="14" t="s">
        <v>95</v>
      </c>
      <c r="D140" s="111" t="s">
        <v>182</v>
      </c>
      <c r="E140" s="112"/>
      <c r="F140" s="112"/>
      <c r="G140" s="112"/>
      <c r="H140" s="40">
        <f>SUM(H141:H141)</f>
        <v>0</v>
      </c>
      <c r="I140" s="40">
        <f>SUM(I141:I141)</f>
        <v>0</v>
      </c>
      <c r="J140" s="40">
        <f>H140+I140</f>
        <v>0</v>
      </c>
      <c r="K140" s="28"/>
      <c r="L140" s="40">
        <f>SUM(L141:L141)</f>
        <v>0</v>
      </c>
      <c r="M140" s="28"/>
      <c r="Y140" s="28" t="s">
        <v>75</v>
      </c>
      <c r="AI140" s="40">
        <f>SUM(Z141:Z141)</f>
        <v>0</v>
      </c>
      <c r="AJ140" s="40">
        <f>SUM(AA141:AA141)</f>
        <v>0</v>
      </c>
      <c r="AK140" s="40">
        <f>SUM(AB141:AB141)</f>
        <v>0</v>
      </c>
    </row>
    <row r="141" spans="1:48" ht="12.75">
      <c r="A141" s="8" t="s">
        <v>70</v>
      </c>
      <c r="B141" s="8" t="s">
        <v>75</v>
      </c>
      <c r="C141" s="8" t="s">
        <v>147</v>
      </c>
      <c r="D141" s="8" t="s">
        <v>245</v>
      </c>
      <c r="E141" s="8" t="s">
        <v>253</v>
      </c>
      <c r="F141" s="21">
        <v>11</v>
      </c>
      <c r="G141" s="21">
        <v>0</v>
      </c>
      <c r="H141" s="21">
        <f>F141*AE141</f>
        <v>0</v>
      </c>
      <c r="I141" s="21">
        <f>J141-H141</f>
        <v>0</v>
      </c>
      <c r="J141" s="21">
        <f>F141*G141</f>
        <v>0</v>
      </c>
      <c r="K141" s="21">
        <v>0</v>
      </c>
      <c r="L141" s="21">
        <f>F141*K141</f>
        <v>0</v>
      </c>
      <c r="M141" s="34"/>
      <c r="P141" s="37">
        <f>IF(AG141="5",J141,0)</f>
        <v>0</v>
      </c>
      <c r="R141" s="37">
        <f>IF(AG141="1",H141,0)</f>
        <v>0</v>
      </c>
      <c r="S141" s="37">
        <f>IF(AG141="1",I141,0)</f>
        <v>0</v>
      </c>
      <c r="T141" s="37">
        <f>IF(AG141="7",H141,0)</f>
        <v>0</v>
      </c>
      <c r="U141" s="37">
        <f>IF(AG141="7",I141,0)</f>
        <v>0</v>
      </c>
      <c r="V141" s="37">
        <f>IF(AG141="2",H141,0)</f>
        <v>0</v>
      </c>
      <c r="W141" s="37">
        <f>IF(AG141="2",I141,0)</f>
        <v>0</v>
      </c>
      <c r="X141" s="37">
        <f>IF(AG141="0",J141,0)</f>
        <v>0</v>
      </c>
      <c r="Y141" s="28" t="s">
        <v>75</v>
      </c>
      <c r="Z141" s="19">
        <f>IF(AD141=0,J141,0)</f>
        <v>0</v>
      </c>
      <c r="AA141" s="19">
        <f>IF(AD141=15,J141,0)</f>
        <v>0</v>
      </c>
      <c r="AB141" s="19">
        <f>IF(AD141=21,J141,0)</f>
        <v>0</v>
      </c>
      <c r="AD141" s="37">
        <v>21</v>
      </c>
      <c r="AE141" s="37">
        <f>G141*0.307747644054385</f>
        <v>0</v>
      </c>
      <c r="AF141" s="37">
        <f>G141*(1-0.307747644054385)</f>
        <v>0</v>
      </c>
      <c r="AG141" s="32" t="s">
        <v>8</v>
      </c>
      <c r="AM141" s="37">
        <f>F141*AE141</f>
        <v>0</v>
      </c>
      <c r="AN141" s="37">
        <f>F141*AF141</f>
        <v>0</v>
      </c>
      <c r="AO141" s="38" t="s">
        <v>290</v>
      </c>
      <c r="AP141" s="38" t="s">
        <v>316</v>
      </c>
      <c r="AQ141" s="28" t="s">
        <v>319</v>
      </c>
      <c r="AS141" s="37">
        <f>AM141+AN141</f>
        <v>0</v>
      </c>
      <c r="AT141" s="37">
        <f>G141/(100-AU141)*100</f>
        <v>0</v>
      </c>
      <c r="AU141" s="37">
        <v>0</v>
      </c>
      <c r="AV141" s="37">
        <f>L141</f>
        <v>0</v>
      </c>
    </row>
    <row r="142" spans="1:13" ht="12.75">
      <c r="A142" s="9"/>
      <c r="B142" s="9"/>
      <c r="C142" s="9"/>
      <c r="D142" s="9"/>
      <c r="E142" s="9"/>
      <c r="F142" s="9"/>
      <c r="G142" s="9"/>
      <c r="H142" s="122" t="s">
        <v>263</v>
      </c>
      <c r="I142" s="69"/>
      <c r="J142" s="42">
        <f>J13+J16+J20+J22+J25+J28+J31+J37+J41+J44+J55+J59+J62+J70+J72+J75+J78+J81+J91+J94+J99+J102+J107+J109+J112+J116+J124+J128+J133+J136+J140</f>
        <v>0</v>
      </c>
      <c r="K142" s="9"/>
      <c r="L142" s="9"/>
      <c r="M142" s="9"/>
    </row>
    <row r="143" ht="11.25" customHeight="1">
      <c r="A143" s="10" t="s">
        <v>71</v>
      </c>
    </row>
    <row r="144" spans="1:13" ht="409.5" customHeight="1" hidden="1">
      <c r="A144" s="72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</row>
  </sheetData>
  <sheetProtection/>
  <mergeCells count="72">
    <mergeCell ref="D138:M138"/>
    <mergeCell ref="D140:G140"/>
    <mergeCell ref="H142:I142"/>
    <mergeCell ref="D102:G102"/>
    <mergeCell ref="D107:G107"/>
    <mergeCell ref="A144:M144"/>
    <mergeCell ref="D116:G116"/>
    <mergeCell ref="D123:G123"/>
    <mergeCell ref="D124:G124"/>
    <mergeCell ref="D128:G128"/>
    <mergeCell ref="D133:G133"/>
    <mergeCell ref="D135:M135"/>
    <mergeCell ref="D136:G136"/>
    <mergeCell ref="D109:G109"/>
    <mergeCell ref="D112:G112"/>
    <mergeCell ref="D70:G70"/>
    <mergeCell ref="D72:G72"/>
    <mergeCell ref="D75:G75"/>
    <mergeCell ref="D78:G78"/>
    <mergeCell ref="D81:G81"/>
    <mergeCell ref="D91:G91"/>
    <mergeCell ref="D94:G94"/>
    <mergeCell ref="D99:G99"/>
    <mergeCell ref="D44:G44"/>
    <mergeCell ref="D46:M46"/>
    <mergeCell ref="D54:G54"/>
    <mergeCell ref="D55:G55"/>
    <mergeCell ref="D22:G22"/>
    <mergeCell ref="D24:M24"/>
    <mergeCell ref="D59:G59"/>
    <mergeCell ref="D62:G62"/>
    <mergeCell ref="D28:G28"/>
    <mergeCell ref="D31:G31"/>
    <mergeCell ref="D37:G37"/>
    <mergeCell ref="D39:M39"/>
    <mergeCell ref="D41:G41"/>
    <mergeCell ref="D43:M43"/>
    <mergeCell ref="D25:G25"/>
    <mergeCell ref="D27:M27"/>
    <mergeCell ref="H10:J10"/>
    <mergeCell ref="K10:L10"/>
    <mergeCell ref="D12:G12"/>
    <mergeCell ref="D13:G13"/>
    <mergeCell ref="D15:M15"/>
    <mergeCell ref="D16:G16"/>
    <mergeCell ref="D18:M18"/>
    <mergeCell ref="D20:G20"/>
    <mergeCell ref="J8:M9"/>
    <mergeCell ref="A6:C7"/>
    <mergeCell ref="D6:D7"/>
    <mergeCell ref="E6:F7"/>
    <mergeCell ref="G6:H7"/>
    <mergeCell ref="I6:I7"/>
    <mergeCell ref="J6:M7"/>
    <mergeCell ref="A8:C9"/>
    <mergeCell ref="D8:D9"/>
    <mergeCell ref="E8:F9"/>
    <mergeCell ref="D4:D5"/>
    <mergeCell ref="E4:F5"/>
    <mergeCell ref="G4:H5"/>
    <mergeCell ref="I8:I9"/>
    <mergeCell ref="G8:H9"/>
    <mergeCell ref="I4:I5"/>
    <mergeCell ref="J4:M5"/>
    <mergeCell ref="A1:M1"/>
    <mergeCell ref="A2:C3"/>
    <mergeCell ref="D2:D3"/>
    <mergeCell ref="E2:F3"/>
    <mergeCell ref="G2:H3"/>
    <mergeCell ref="I2:I3"/>
    <mergeCell ref="J2:M3"/>
    <mergeCell ref="A4:C5"/>
  </mergeCells>
  <printOptions/>
  <pageMargins left="0.394" right="0.394" top="0.591" bottom="0.591" header="0.5" footer="0.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Fadrhonc</cp:lastModifiedBy>
  <cp:lastPrinted>2017-01-31T07:30:47Z</cp:lastPrinted>
  <dcterms:created xsi:type="dcterms:W3CDTF">2017-01-31T07:31:03Z</dcterms:created>
  <dcterms:modified xsi:type="dcterms:W3CDTF">2017-01-31T07:59:21Z</dcterms:modified>
  <cp:category/>
  <cp:version/>
  <cp:contentType/>
  <cp:contentStatus/>
</cp:coreProperties>
</file>